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040" yWindow="0" windowWidth="8010" windowHeight="8760" activeTab="1"/>
  </bookViews>
  <sheets>
    <sheet name="Sensitivity Report 1" sheetId="17" r:id="rId1"/>
    <sheet name="Sheet1" sheetId="1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</sheets>
  <definedNames>
    <definedName name="solver_adj" localSheetId="1" hidden="1">Sheet1!$C$2,Sheet1!$G$3:$K$4,Sheet1!$G$10:$K$10,Sheet1!$G$21:$K$21,Sheet1!$G$22,Sheet1!$L$22:$Q$23,Sheet1!$G$24,Sheet1!$L$31:$R$31,Sheet1!$L$50:$R$50,Sheet1!$G$73:$K$73</definedName>
    <definedName name="solver_cvg" localSheetId="1" hidden="1">0.001</definedName>
    <definedName name="solver_drv" localSheetId="1" hidden="1">2</definedName>
    <definedName name="solver_est" localSheetId="1" hidden="1">2</definedName>
    <definedName name="solver_itr" localSheetId="1" hidden="1">600</definedName>
    <definedName name="solver_lhs1" localSheetId="1" hidden="1">Sheet1!$N$31</definedName>
    <definedName name="solver_lhs2" localSheetId="1" hidden="1">Sheet1!$N$31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Sheet1!$A$1</definedName>
    <definedName name="solver_pre" localSheetId="1" hidden="1">0.0000000001</definedName>
    <definedName name="solver_rel1" localSheetId="1" hidden="1">1</definedName>
    <definedName name="solver_rel2" localSheetId="1" hidden="1">1</definedName>
    <definedName name="solver_rhs1" localSheetId="1" hidden="1">Sheet1!$M$31</definedName>
    <definedName name="solver_rhs2" localSheetId="1" hidden="1">Sheet1!$M$31</definedName>
    <definedName name="solver_scl" localSheetId="1" hidden="1">1</definedName>
    <definedName name="solver_sho" localSheetId="1" hidden="1">2</definedName>
    <definedName name="solver_tim" localSheetId="1" hidden="1">600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H5" i="1"/>
  <c r="I5"/>
  <c r="J5"/>
  <c r="K5"/>
  <c r="G5"/>
  <c r="H74"/>
  <c r="F67"/>
  <c r="F68" s="1"/>
  <c r="E5" l="1"/>
  <c r="F36"/>
  <c r="H13"/>
  <c r="I13"/>
  <c r="J13"/>
  <c r="K13"/>
  <c r="G13"/>
  <c r="G14" s="1"/>
  <c r="G28"/>
  <c r="H17"/>
  <c r="I17"/>
  <c r="J17"/>
  <c r="K17"/>
  <c r="G17"/>
  <c r="G18" s="1"/>
  <c r="H12"/>
  <c r="I12"/>
  <c r="J12"/>
  <c r="K12"/>
  <c r="G12"/>
  <c r="H8"/>
  <c r="I8"/>
  <c r="J8"/>
  <c r="K8"/>
  <c r="G8"/>
  <c r="G9" s="1"/>
  <c r="H6"/>
  <c r="H7" s="1"/>
  <c r="I6"/>
  <c r="I7" s="1"/>
  <c r="J6"/>
  <c r="J7" s="1"/>
  <c r="K6"/>
  <c r="K7" s="1"/>
  <c r="G6"/>
  <c r="G7" s="1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206"/>
  <c r="F15"/>
  <c r="F19" s="1"/>
  <c r="F40" s="1"/>
  <c r="F43" s="1"/>
  <c r="F7"/>
  <c r="F16" s="1"/>
  <c r="F20" s="1"/>
  <c r="F42" s="1"/>
  <c r="H63"/>
  <c r="I63" s="1"/>
  <c r="J63" s="1"/>
  <c r="K63" s="1"/>
  <c r="T23"/>
  <c r="W23"/>
  <c r="X23"/>
  <c r="O28"/>
  <c r="P28" s="1"/>
  <c r="Q28" s="1"/>
  <c r="R28" s="1"/>
  <c r="T28" s="1"/>
  <c r="U28" s="1"/>
  <c r="V28" s="1"/>
  <c r="W28" s="1"/>
  <c r="X28" s="1"/>
  <c r="Z137"/>
  <c r="Z147"/>
  <c r="Z136"/>
  <c r="Q24"/>
  <c r="P24"/>
  <c r="R24"/>
  <c r="R22" s="1"/>
  <c r="N24"/>
  <c r="O25" s="1"/>
  <c r="O29" s="1"/>
  <c r="S22"/>
  <c r="V22" s="1"/>
  <c r="L27"/>
  <c r="M27"/>
  <c r="O27"/>
  <c r="P27"/>
  <c r="S31"/>
  <c r="V31" s="1"/>
  <c r="T31"/>
  <c r="W31" s="1"/>
  <c r="U31"/>
  <c r="X31" s="1"/>
  <c r="S50"/>
  <c r="T50" s="1"/>
  <c r="U50" s="1"/>
  <c r="V50" s="1"/>
  <c r="W50" s="1"/>
  <c r="X50" s="1"/>
  <c r="A138"/>
  <c r="A139" s="1"/>
  <c r="A140" s="1"/>
  <c r="A141" s="1"/>
  <c r="A142" s="1"/>
  <c r="A143" s="1"/>
  <c r="A144" s="1"/>
  <c r="Z144" s="1"/>
  <c r="H22"/>
  <c r="F49" l="1"/>
  <c r="F37"/>
  <c r="F45" s="1"/>
  <c r="F31"/>
  <c r="F44"/>
  <c r="K15"/>
  <c r="K19" s="1"/>
  <c r="H15"/>
  <c r="H19" s="1"/>
  <c r="H18"/>
  <c r="G11"/>
  <c r="J15"/>
  <c r="J19" s="1"/>
  <c r="I15"/>
  <c r="I19" s="1"/>
  <c r="K18"/>
  <c r="H9"/>
  <c r="G16"/>
  <c r="G20" s="1"/>
  <c r="G15"/>
  <c r="K9"/>
  <c r="I9"/>
  <c r="J14"/>
  <c r="H14"/>
  <c r="H16" s="1"/>
  <c r="J18"/>
  <c r="J9"/>
  <c r="K14"/>
  <c r="I14"/>
  <c r="I16" s="1"/>
  <c r="I18"/>
  <c r="Z141"/>
  <c r="Z143"/>
  <c r="Z139"/>
  <c r="R25"/>
  <c r="R29" s="1"/>
  <c r="Z142"/>
  <c r="Z140"/>
  <c r="Z138"/>
  <c r="V24"/>
  <c r="W22" s="1"/>
  <c r="W24" s="1"/>
  <c r="X22" s="1"/>
  <c r="X24" s="1"/>
  <c r="A145"/>
  <c r="O26"/>
  <c r="O24"/>
  <c r="P25" s="1"/>
  <c r="P29" s="1"/>
  <c r="S24"/>
  <c r="T22" s="1"/>
  <c r="T24" s="1"/>
  <c r="U22" s="1"/>
  <c r="U24" s="1"/>
  <c r="M24"/>
  <c r="N25" s="1"/>
  <c r="L24"/>
  <c r="V57"/>
  <c r="W57"/>
  <c r="X57"/>
  <c r="Q27"/>
  <c r="R27"/>
  <c r="S27"/>
  <c r="O32"/>
  <c r="N32"/>
  <c r="P32"/>
  <c r="S32"/>
  <c r="S34" s="1"/>
  <c r="S77" s="1"/>
  <c r="N57"/>
  <c r="O57"/>
  <c r="P57"/>
  <c r="Q57"/>
  <c r="R57"/>
  <c r="S57"/>
  <c r="T57"/>
  <c r="U57"/>
  <c r="L26"/>
  <c r="G83" l="1"/>
  <c r="G67"/>
  <c r="F38"/>
  <c r="F46" s="1"/>
  <c r="H20"/>
  <c r="H40" s="1"/>
  <c r="G36"/>
  <c r="G37" s="1"/>
  <c r="G38" s="1"/>
  <c r="K16"/>
  <c r="K20" s="1"/>
  <c r="K40" s="1"/>
  <c r="G42"/>
  <c r="J16"/>
  <c r="J20" s="1"/>
  <c r="J40" s="1"/>
  <c r="G19"/>
  <c r="G40" s="1"/>
  <c r="G50" s="1"/>
  <c r="I20"/>
  <c r="I40" s="1"/>
  <c r="K11"/>
  <c r="K67" s="1"/>
  <c r="J11"/>
  <c r="J67" s="1"/>
  <c r="I11"/>
  <c r="I67" s="1"/>
  <c r="H11"/>
  <c r="H67" s="1"/>
  <c r="A146"/>
  <c r="Z145"/>
  <c r="T32"/>
  <c r="P26"/>
  <c r="R26"/>
  <c r="O97"/>
  <c r="P34"/>
  <c r="P77" s="1"/>
  <c r="S26"/>
  <c r="P51"/>
  <c r="O92"/>
  <c r="O95"/>
  <c r="O98"/>
  <c r="O101"/>
  <c r="O102"/>
  <c r="O103"/>
  <c r="O105"/>
  <c r="O106"/>
  <c r="O107"/>
  <c r="O109"/>
  <c r="O110"/>
  <c r="O111"/>
  <c r="O113"/>
  <c r="O136"/>
  <c r="O137"/>
  <c r="O138"/>
  <c r="O139"/>
  <c r="O143"/>
  <c r="T26"/>
  <c r="S101"/>
  <c r="S102"/>
  <c r="S103"/>
  <c r="S105"/>
  <c r="S106"/>
  <c r="S107"/>
  <c r="S109"/>
  <c r="S110"/>
  <c r="S111"/>
  <c r="S113"/>
  <c r="S136"/>
  <c r="S137"/>
  <c r="S138"/>
  <c r="S139"/>
  <c r="S143"/>
  <c r="O99"/>
  <c r="O94"/>
  <c r="O34"/>
  <c r="O77" s="1"/>
  <c r="S51"/>
  <c r="O51"/>
  <c r="S99"/>
  <c r="S98"/>
  <c r="S97"/>
  <c r="S95"/>
  <c r="S94"/>
  <c r="S92"/>
  <c r="R32"/>
  <c r="R34" s="1"/>
  <c r="U32"/>
  <c r="U51" s="1"/>
  <c r="Q32"/>
  <c r="M28"/>
  <c r="M25"/>
  <c r="M29" s="1"/>
  <c r="F39" l="1"/>
  <c r="F47" s="1"/>
  <c r="G43"/>
  <c r="G44" s="1"/>
  <c r="K36"/>
  <c r="K37" s="1"/>
  <c r="K38" s="1"/>
  <c r="K83"/>
  <c r="J36"/>
  <c r="J37" s="1"/>
  <c r="J83"/>
  <c r="I36"/>
  <c r="I37" s="1"/>
  <c r="I83"/>
  <c r="H36"/>
  <c r="H37" s="1"/>
  <c r="H72" s="1"/>
  <c r="H83"/>
  <c r="G31"/>
  <c r="G39"/>
  <c r="G41" s="1"/>
  <c r="A148"/>
  <c r="Z146"/>
  <c r="M26"/>
  <c r="O140"/>
  <c r="S140"/>
  <c r="U34"/>
  <c r="U77" s="1"/>
  <c r="R77"/>
  <c r="Q51"/>
  <c r="Q92"/>
  <c r="Q94"/>
  <c r="Q95"/>
  <c r="Q97"/>
  <c r="Q98"/>
  <c r="Q99"/>
  <c r="Q101"/>
  <c r="Q102"/>
  <c r="Q103"/>
  <c r="Q105"/>
  <c r="Q106"/>
  <c r="Q107"/>
  <c r="Q109"/>
  <c r="Q110"/>
  <c r="Q111"/>
  <c r="Q113"/>
  <c r="Q138"/>
  <c r="Q140"/>
  <c r="Q136"/>
  <c r="Q137"/>
  <c r="Q139"/>
  <c r="Q143"/>
  <c r="U94"/>
  <c r="U92"/>
  <c r="V32"/>
  <c r="Q34"/>
  <c r="V26"/>
  <c r="R51"/>
  <c r="R92"/>
  <c r="R94"/>
  <c r="R95"/>
  <c r="R97"/>
  <c r="R98"/>
  <c r="R99"/>
  <c r="R101"/>
  <c r="R102"/>
  <c r="R103"/>
  <c r="R105"/>
  <c r="R106"/>
  <c r="R107"/>
  <c r="R109"/>
  <c r="R110"/>
  <c r="R111"/>
  <c r="R113"/>
  <c r="R136"/>
  <c r="R137"/>
  <c r="R139"/>
  <c r="R143"/>
  <c r="R138"/>
  <c r="R140"/>
  <c r="Q141"/>
  <c r="H24"/>
  <c r="F41" l="1"/>
  <c r="F48" s="1"/>
  <c r="G58"/>
  <c r="G47"/>
  <c r="G45"/>
  <c r="G49"/>
  <c r="G46"/>
  <c r="G62"/>
  <c r="H38"/>
  <c r="H39" s="1"/>
  <c r="I38"/>
  <c r="K39"/>
  <c r="K41" s="1"/>
  <c r="J38"/>
  <c r="A149"/>
  <c r="Z148"/>
  <c r="R141"/>
  <c r="O141"/>
  <c r="S141"/>
  <c r="U139"/>
  <c r="U143"/>
  <c r="U141"/>
  <c r="U136"/>
  <c r="U137"/>
  <c r="U109"/>
  <c r="U138"/>
  <c r="U103"/>
  <c r="U111"/>
  <c r="U106"/>
  <c r="U99"/>
  <c r="U140"/>
  <c r="U113"/>
  <c r="U110"/>
  <c r="U107"/>
  <c r="U105"/>
  <c r="U102"/>
  <c r="U97"/>
  <c r="U101"/>
  <c r="U98"/>
  <c r="U95"/>
  <c r="U27"/>
  <c r="Q77"/>
  <c r="W32"/>
  <c r="I24"/>
  <c r="K66"/>
  <c r="K68" s="1"/>
  <c r="K74"/>
  <c r="J74"/>
  <c r="J66"/>
  <c r="J68" s="1"/>
  <c r="M57"/>
  <c r="L57"/>
  <c r="G55"/>
  <c r="H30"/>
  <c r="H31" s="1"/>
  <c r="H41" l="1"/>
  <c r="K50"/>
  <c r="H50"/>
  <c r="G48"/>
  <c r="I39"/>
  <c r="I41" s="1"/>
  <c r="J39"/>
  <c r="J41" s="1"/>
  <c r="I30"/>
  <c r="I31" s="1"/>
  <c r="H42"/>
  <c r="H43" s="1"/>
  <c r="A150"/>
  <c r="Z149"/>
  <c r="O142"/>
  <c r="S142"/>
  <c r="R142"/>
  <c r="Q142"/>
  <c r="U142"/>
  <c r="U26"/>
  <c r="T92"/>
  <c r="T94"/>
  <c r="T95"/>
  <c r="T97"/>
  <c r="T98"/>
  <c r="T99"/>
  <c r="T101"/>
  <c r="T102"/>
  <c r="T103"/>
  <c r="T105"/>
  <c r="T106"/>
  <c r="T107"/>
  <c r="T109"/>
  <c r="T110"/>
  <c r="T111"/>
  <c r="T113"/>
  <c r="T136"/>
  <c r="T137"/>
  <c r="T139"/>
  <c r="T141"/>
  <c r="T143"/>
  <c r="T138"/>
  <c r="T140"/>
  <c r="T142"/>
  <c r="T150"/>
  <c r="X32"/>
  <c r="T144"/>
  <c r="J24"/>
  <c r="K24" s="1"/>
  <c r="H48" l="1"/>
  <c r="H47"/>
  <c r="H44"/>
  <c r="H46"/>
  <c r="H45"/>
  <c r="H62"/>
  <c r="F24"/>
  <c r="J50"/>
  <c r="I50"/>
  <c r="H49"/>
  <c r="H58"/>
  <c r="J30"/>
  <c r="J31" s="1"/>
  <c r="I42"/>
  <c r="I43" s="1"/>
  <c r="I48" s="1"/>
  <c r="A151"/>
  <c r="Z150"/>
  <c r="O150"/>
  <c r="S150"/>
  <c r="Q150"/>
  <c r="R150"/>
  <c r="U150"/>
  <c r="O144"/>
  <c r="S144"/>
  <c r="Q144"/>
  <c r="R144"/>
  <c r="U144"/>
  <c r="T34"/>
  <c r="T51"/>
  <c r="T27"/>
  <c r="I46" l="1"/>
  <c r="I45"/>
  <c r="I62"/>
  <c r="I47"/>
  <c r="I44"/>
  <c r="I49"/>
  <c r="I58"/>
  <c r="K30"/>
  <c r="K31" s="1"/>
  <c r="J42"/>
  <c r="J43" s="1"/>
  <c r="J44" s="1"/>
  <c r="A152"/>
  <c r="Z151"/>
  <c r="O145"/>
  <c r="S145"/>
  <c r="Q145"/>
  <c r="R145"/>
  <c r="U145"/>
  <c r="T145"/>
  <c r="T77"/>
  <c r="K72"/>
  <c r="K82" s="1"/>
  <c r="K57"/>
  <c r="K84"/>
  <c r="K85" s="1"/>
  <c r="K86" s="1"/>
  <c r="J84"/>
  <c r="J85" s="1"/>
  <c r="J86" s="1"/>
  <c r="M32"/>
  <c r="N29" s="1"/>
  <c r="H66"/>
  <c r="H68" s="1"/>
  <c r="I66"/>
  <c r="I68" s="1"/>
  <c r="G66"/>
  <c r="G68" s="1"/>
  <c r="J47" l="1"/>
  <c r="J62"/>
  <c r="J45"/>
  <c r="J48"/>
  <c r="J46"/>
  <c r="J49"/>
  <c r="J58"/>
  <c r="K42"/>
  <c r="A153"/>
  <c r="Z152"/>
  <c r="O146"/>
  <c r="S146"/>
  <c r="R146"/>
  <c r="Q146"/>
  <c r="U146"/>
  <c r="T146"/>
  <c r="M142"/>
  <c r="M141"/>
  <c r="K87"/>
  <c r="J57"/>
  <c r="J59" s="1"/>
  <c r="J72"/>
  <c r="J82" s="1"/>
  <c r="J87" s="1"/>
  <c r="L32"/>
  <c r="I74"/>
  <c r="G74"/>
  <c r="K43" l="1"/>
  <c r="A154"/>
  <c r="Z153"/>
  <c r="O147"/>
  <c r="S147"/>
  <c r="Q147"/>
  <c r="R147"/>
  <c r="U147"/>
  <c r="T147"/>
  <c r="L141"/>
  <c r="L142"/>
  <c r="L137"/>
  <c r="L139"/>
  <c r="L143"/>
  <c r="L145"/>
  <c r="L147"/>
  <c r="L136"/>
  <c r="L138"/>
  <c r="L140"/>
  <c r="L144"/>
  <c r="L146"/>
  <c r="L148"/>
  <c r="L150"/>
  <c r="M34"/>
  <c r="L34"/>
  <c r="A119"/>
  <c r="A115"/>
  <c r="A123"/>
  <c r="L51"/>
  <c r="M51"/>
  <c r="K62" l="1"/>
  <c r="K46"/>
  <c r="K48"/>
  <c r="K44"/>
  <c r="K59" s="1"/>
  <c r="K45"/>
  <c r="K47"/>
  <c r="K49"/>
  <c r="K58"/>
  <c r="A155"/>
  <c r="Z154"/>
  <c r="O148"/>
  <c r="S148"/>
  <c r="Q148"/>
  <c r="R148"/>
  <c r="U148"/>
  <c r="T148"/>
  <c r="L77"/>
  <c r="M77"/>
  <c r="A156" l="1"/>
  <c r="Z155"/>
  <c r="O149"/>
  <c r="S149"/>
  <c r="Q149"/>
  <c r="R149"/>
  <c r="U149"/>
  <c r="T149"/>
  <c r="L149"/>
  <c r="I57"/>
  <c r="I59" s="1"/>
  <c r="I84"/>
  <c r="I85" s="1"/>
  <c r="I86" s="1"/>
  <c r="H57"/>
  <c r="H59" s="1"/>
  <c r="I72"/>
  <c r="I82" s="1"/>
  <c r="A157" l="1"/>
  <c r="Z156"/>
  <c r="O151"/>
  <c r="S151"/>
  <c r="Q151"/>
  <c r="R151"/>
  <c r="U151"/>
  <c r="T151"/>
  <c r="L151"/>
  <c r="H82"/>
  <c r="H84"/>
  <c r="H85" s="1"/>
  <c r="H86" s="1"/>
  <c r="G72"/>
  <c r="G82" s="1"/>
  <c r="G84"/>
  <c r="G85" s="1"/>
  <c r="G86" s="1"/>
  <c r="I87"/>
  <c r="A158" l="1"/>
  <c r="Z157"/>
  <c r="O152"/>
  <c r="S152"/>
  <c r="Q152"/>
  <c r="R152"/>
  <c r="U152"/>
  <c r="T152"/>
  <c r="L152"/>
  <c r="G87"/>
  <c r="H87"/>
  <c r="A159" l="1"/>
  <c r="Z158"/>
  <c r="S158"/>
  <c r="O158"/>
  <c r="Q158"/>
  <c r="R158"/>
  <c r="U158"/>
  <c r="T158"/>
  <c r="L158"/>
  <c r="O153"/>
  <c r="S153"/>
  <c r="Q153"/>
  <c r="R153"/>
  <c r="U153"/>
  <c r="T153"/>
  <c r="L153"/>
  <c r="A160" l="1"/>
  <c r="Z159"/>
  <c r="O159"/>
  <c r="S159"/>
  <c r="Q159"/>
  <c r="R159"/>
  <c r="U159"/>
  <c r="T159"/>
  <c r="L159"/>
  <c r="O154"/>
  <c r="S154"/>
  <c r="R154"/>
  <c r="Q154"/>
  <c r="U154"/>
  <c r="T154"/>
  <c r="L154"/>
  <c r="A161" l="1"/>
  <c r="Z160"/>
  <c r="S160"/>
  <c r="O160"/>
  <c r="Q160"/>
  <c r="R160"/>
  <c r="U160"/>
  <c r="T160"/>
  <c r="L160"/>
  <c r="O155"/>
  <c r="S155"/>
  <c r="Q155"/>
  <c r="R155"/>
  <c r="U155"/>
  <c r="T155"/>
  <c r="L155"/>
  <c r="A162" l="1"/>
  <c r="Z161"/>
  <c r="O161"/>
  <c r="R161"/>
  <c r="S161"/>
  <c r="Q161"/>
  <c r="U161"/>
  <c r="T161"/>
  <c r="L161"/>
  <c r="O156"/>
  <c r="S156"/>
  <c r="Q156"/>
  <c r="R156"/>
  <c r="U156"/>
  <c r="T156"/>
  <c r="L156"/>
  <c r="A163" l="1"/>
  <c r="Z162"/>
  <c r="S162"/>
  <c r="Q162"/>
  <c r="U162"/>
  <c r="O162"/>
  <c r="R162"/>
  <c r="T162"/>
  <c r="L162"/>
  <c r="O157"/>
  <c r="S157"/>
  <c r="Q157"/>
  <c r="R157"/>
  <c r="U157"/>
  <c r="T157"/>
  <c r="L157"/>
  <c r="A164" l="1"/>
  <c r="Z163"/>
  <c r="O163"/>
  <c r="Q163"/>
  <c r="U163"/>
  <c r="T163"/>
  <c r="S163"/>
  <c r="R163"/>
  <c r="L163"/>
  <c r="A165" l="1"/>
  <c r="Z164"/>
  <c r="S164"/>
  <c r="R164"/>
  <c r="O164"/>
  <c r="Q164"/>
  <c r="U164"/>
  <c r="T164"/>
  <c r="L164"/>
  <c r="A166" l="1"/>
  <c r="Z165"/>
  <c r="O165"/>
  <c r="Q165"/>
  <c r="U165"/>
  <c r="S165"/>
  <c r="R165"/>
  <c r="T165"/>
  <c r="L165"/>
  <c r="A167" l="1"/>
  <c r="Z166"/>
  <c r="O166"/>
  <c r="Q166"/>
  <c r="U166"/>
  <c r="S166"/>
  <c r="R166"/>
  <c r="T166"/>
  <c r="L166"/>
  <c r="A168" l="1"/>
  <c r="Z167"/>
  <c r="O167"/>
  <c r="S167"/>
  <c r="Q167"/>
  <c r="R167"/>
  <c r="U167"/>
  <c r="T167"/>
  <c r="L167"/>
  <c r="A169" l="1"/>
  <c r="Z168"/>
  <c r="O168"/>
  <c r="U168"/>
  <c r="S168"/>
  <c r="R168"/>
  <c r="T168"/>
  <c r="Q168"/>
  <c r="L168"/>
  <c r="A170" l="1"/>
  <c r="Z169"/>
  <c r="O169"/>
  <c r="Q169"/>
  <c r="U169"/>
  <c r="L169"/>
  <c r="S169"/>
  <c r="R169"/>
  <c r="T169"/>
  <c r="A171" l="1"/>
  <c r="Z170"/>
  <c r="O170"/>
  <c r="R170"/>
  <c r="L170"/>
  <c r="S170"/>
  <c r="Q170"/>
  <c r="T170"/>
  <c r="U170"/>
  <c r="A172" l="1"/>
  <c r="Z171"/>
  <c r="O171"/>
  <c r="Q171"/>
  <c r="L171"/>
  <c r="S171"/>
  <c r="R171"/>
  <c r="T171"/>
  <c r="U171"/>
  <c r="A173" l="1"/>
  <c r="Z172"/>
  <c r="O172"/>
  <c r="Q172"/>
  <c r="L172"/>
  <c r="S172"/>
  <c r="R172"/>
  <c r="T172"/>
  <c r="U172"/>
  <c r="A174" l="1"/>
  <c r="Z173"/>
  <c r="O173"/>
  <c r="Q173"/>
  <c r="U173"/>
  <c r="S173"/>
  <c r="R173"/>
  <c r="T173"/>
  <c r="L173"/>
  <c r="A175" l="1"/>
  <c r="Z174"/>
  <c r="O174"/>
  <c r="Q174"/>
  <c r="U174"/>
  <c r="L174"/>
  <c r="S174"/>
  <c r="R174"/>
  <c r="T174"/>
  <c r="A176" l="1"/>
  <c r="Z175"/>
  <c r="O175"/>
  <c r="R175"/>
  <c r="L175"/>
  <c r="S175"/>
  <c r="Q175"/>
  <c r="T175"/>
  <c r="U175"/>
  <c r="A177" l="1"/>
  <c r="Z176"/>
  <c r="O176"/>
  <c r="Q176"/>
  <c r="U176"/>
  <c r="S176"/>
  <c r="R176"/>
  <c r="T176"/>
  <c r="L176"/>
  <c r="A178" l="1"/>
  <c r="Z177"/>
  <c r="O177"/>
  <c r="Q177"/>
  <c r="U177"/>
  <c r="L177"/>
  <c r="S177"/>
  <c r="R177"/>
  <c r="T177"/>
  <c r="A179" l="1"/>
  <c r="Z178"/>
  <c r="O178"/>
  <c r="Q178"/>
  <c r="L178"/>
  <c r="S178"/>
  <c r="R178"/>
  <c r="T178"/>
  <c r="U178"/>
  <c r="A180" l="1"/>
  <c r="Z179"/>
  <c r="O179"/>
  <c r="R179"/>
  <c r="L179"/>
  <c r="S179"/>
  <c r="Q179"/>
  <c r="T179"/>
  <c r="U179"/>
  <c r="A181" l="1"/>
  <c r="Z180"/>
  <c r="O180"/>
  <c r="Q180"/>
  <c r="L180"/>
  <c r="S180"/>
  <c r="R180"/>
  <c r="T180"/>
  <c r="U180"/>
  <c r="A182" l="1"/>
  <c r="Z181"/>
  <c r="O181"/>
  <c r="Q181"/>
  <c r="L181"/>
  <c r="S181"/>
  <c r="R181"/>
  <c r="T181"/>
  <c r="U181"/>
  <c r="A183" l="1"/>
  <c r="Z182"/>
  <c r="O182"/>
  <c r="Q182"/>
  <c r="L182"/>
  <c r="S182"/>
  <c r="R182"/>
  <c r="T182"/>
  <c r="U182"/>
  <c r="A184" l="1"/>
  <c r="Z183"/>
  <c r="O183"/>
  <c r="R183"/>
  <c r="L183"/>
  <c r="S183"/>
  <c r="Q183"/>
  <c r="T183"/>
  <c r="U183"/>
  <c r="A185" l="1"/>
  <c r="Z184"/>
  <c r="O184"/>
  <c r="Q184"/>
  <c r="U184"/>
  <c r="S184"/>
  <c r="R184"/>
  <c r="T184"/>
  <c r="L184"/>
  <c r="A186" l="1"/>
  <c r="Z185"/>
  <c r="O185"/>
  <c r="Q185"/>
  <c r="U185"/>
  <c r="L185"/>
  <c r="S185"/>
  <c r="R185"/>
  <c r="T185"/>
  <c r="A187" l="1"/>
  <c r="Z186"/>
  <c r="O186"/>
  <c r="Q186"/>
  <c r="L186"/>
  <c r="S186"/>
  <c r="R186"/>
  <c r="T186"/>
  <c r="U186"/>
  <c r="A188" l="1"/>
  <c r="Z187"/>
  <c r="O187"/>
  <c r="R187"/>
  <c r="L187"/>
  <c r="S187"/>
  <c r="Q187"/>
  <c r="T187"/>
  <c r="U187"/>
  <c r="A189" l="1"/>
  <c r="Z188"/>
  <c r="O188"/>
  <c r="Q188"/>
  <c r="L188"/>
  <c r="S188"/>
  <c r="R188"/>
  <c r="T188"/>
  <c r="U188"/>
  <c r="A190" l="1"/>
  <c r="Z189"/>
  <c r="O189"/>
  <c r="Q189"/>
  <c r="L189"/>
  <c r="S189"/>
  <c r="R189"/>
  <c r="T189"/>
  <c r="U189"/>
  <c r="A191" l="1"/>
  <c r="Z190"/>
  <c r="O190"/>
  <c r="Q190"/>
  <c r="U190"/>
  <c r="L190"/>
  <c r="S190"/>
  <c r="R190"/>
  <c r="T190"/>
  <c r="A192" l="1"/>
  <c r="Z191"/>
  <c r="O191"/>
  <c r="R191"/>
  <c r="L191"/>
  <c r="S191"/>
  <c r="Q191"/>
  <c r="T191"/>
  <c r="U191"/>
  <c r="A193" l="1"/>
  <c r="Z192"/>
  <c r="O192"/>
  <c r="Q192"/>
  <c r="U192"/>
  <c r="S192"/>
  <c r="R192"/>
  <c r="T192"/>
  <c r="L192"/>
  <c r="A194" l="1"/>
  <c r="Z193"/>
  <c r="O193"/>
  <c r="Q193"/>
  <c r="L193"/>
  <c r="S193"/>
  <c r="R193"/>
  <c r="T193"/>
  <c r="U193"/>
  <c r="A195" l="1"/>
  <c r="Z194"/>
  <c r="O194"/>
  <c r="Q194"/>
  <c r="U194"/>
  <c r="S194"/>
  <c r="R194"/>
  <c r="T194"/>
  <c r="L194"/>
  <c r="A196" l="1"/>
  <c r="Z195"/>
  <c r="O195"/>
  <c r="R195"/>
  <c r="U195"/>
  <c r="L195"/>
  <c r="S195"/>
  <c r="Q195"/>
  <c r="T195"/>
  <c r="A197" l="1"/>
  <c r="Z196"/>
  <c r="O196"/>
  <c r="Q196"/>
  <c r="U196"/>
  <c r="S196"/>
  <c r="R196"/>
  <c r="T196"/>
  <c r="L196"/>
  <c r="A198" l="1"/>
  <c r="Z197"/>
  <c r="O197"/>
  <c r="Q197"/>
  <c r="U197"/>
  <c r="L197"/>
  <c r="S197"/>
  <c r="R197"/>
  <c r="T197"/>
  <c r="A199" l="1"/>
  <c r="Z198"/>
  <c r="O198"/>
  <c r="Q198"/>
  <c r="L198"/>
  <c r="S198"/>
  <c r="R198"/>
  <c r="T198"/>
  <c r="U198"/>
  <c r="A200" l="1"/>
  <c r="Z199"/>
  <c r="O199"/>
  <c r="R199"/>
  <c r="U199"/>
  <c r="L199"/>
  <c r="S199"/>
  <c r="Q199"/>
  <c r="T199"/>
  <c r="A201" l="1"/>
  <c r="Z200"/>
  <c r="O200"/>
  <c r="Q200"/>
  <c r="L200"/>
  <c r="S200"/>
  <c r="R200"/>
  <c r="T200"/>
  <c r="U200"/>
  <c r="A202" l="1"/>
  <c r="Z201"/>
  <c r="O201"/>
  <c r="Q201"/>
  <c r="L201"/>
  <c r="S201"/>
  <c r="R201"/>
  <c r="T201"/>
  <c r="U201"/>
  <c r="A203" l="1"/>
  <c r="Z202"/>
  <c r="O202"/>
  <c r="U202"/>
  <c r="S202"/>
  <c r="R202"/>
  <c r="T202"/>
  <c r="Q202"/>
  <c r="L202"/>
  <c r="A204" l="1"/>
  <c r="Z203"/>
  <c r="O203"/>
  <c r="R203"/>
  <c r="U203"/>
  <c r="L203"/>
  <c r="S203"/>
  <c r="Q203"/>
  <c r="T203"/>
  <c r="A205" l="1"/>
  <c r="Z204"/>
  <c r="O204"/>
  <c r="Q204"/>
  <c r="L204"/>
  <c r="S204"/>
  <c r="R204"/>
  <c r="T204"/>
  <c r="U204"/>
  <c r="A206" l="1"/>
  <c r="Z205"/>
  <c r="O205"/>
  <c r="U205"/>
  <c r="L205"/>
  <c r="S205"/>
  <c r="R205"/>
  <c r="T205"/>
  <c r="Q205"/>
  <c r="A207" l="1"/>
  <c r="Z206"/>
  <c r="O206"/>
  <c r="Q206"/>
  <c r="L206"/>
  <c r="S206"/>
  <c r="R206"/>
  <c r="T206"/>
  <c r="U206"/>
  <c r="A208" l="1"/>
  <c r="Z207"/>
  <c r="O207"/>
  <c r="R207"/>
  <c r="U207"/>
  <c r="S207"/>
  <c r="Q207"/>
  <c r="T207"/>
  <c r="L207"/>
  <c r="A209" l="1"/>
  <c r="Z208"/>
  <c r="O208"/>
  <c r="U208"/>
  <c r="S208"/>
  <c r="R208"/>
  <c r="T208"/>
  <c r="Q208"/>
  <c r="L208"/>
  <c r="A210" l="1"/>
  <c r="Z209"/>
  <c r="O209"/>
  <c r="U209"/>
  <c r="S209"/>
  <c r="R209"/>
  <c r="T209"/>
  <c r="Q209"/>
  <c r="L209"/>
  <c r="A211" l="1"/>
  <c r="Z210"/>
  <c r="O210"/>
  <c r="Q210"/>
  <c r="U210"/>
  <c r="L210"/>
  <c r="S210"/>
  <c r="R210"/>
  <c r="T210"/>
  <c r="A212" l="1"/>
  <c r="Z211"/>
  <c r="O211"/>
  <c r="R211"/>
  <c r="L211"/>
  <c r="S211"/>
  <c r="Q211"/>
  <c r="T211"/>
  <c r="U211"/>
  <c r="A213" l="1"/>
  <c r="Z212"/>
  <c r="O212"/>
  <c r="Q212"/>
  <c r="U212"/>
  <c r="S212"/>
  <c r="R212"/>
  <c r="T212"/>
  <c r="L212"/>
  <c r="A214" l="1"/>
  <c r="Z213"/>
  <c r="O213"/>
  <c r="Q213"/>
  <c r="U213"/>
  <c r="L213"/>
  <c r="S213"/>
  <c r="R213"/>
  <c r="T213"/>
  <c r="A215" l="1"/>
  <c r="Z214"/>
  <c r="O214"/>
  <c r="Q214"/>
  <c r="L214"/>
  <c r="S214"/>
  <c r="R214"/>
  <c r="T214"/>
  <c r="U214"/>
  <c r="A216" l="1"/>
  <c r="Z215"/>
  <c r="O215"/>
  <c r="U215"/>
  <c r="S215"/>
  <c r="Q215"/>
  <c r="T215"/>
  <c r="R215"/>
  <c r="L215"/>
  <c r="A217" l="1"/>
  <c r="Z216"/>
  <c r="O216"/>
  <c r="Q216"/>
  <c r="U216"/>
  <c r="L216"/>
  <c r="S216"/>
  <c r="R216"/>
  <c r="T216"/>
  <c r="A218" l="1"/>
  <c r="Z217"/>
  <c r="O217"/>
  <c r="Q217"/>
  <c r="L217"/>
  <c r="S217"/>
  <c r="R217"/>
  <c r="T217"/>
  <c r="U217"/>
  <c r="A219" l="1"/>
  <c r="Z218"/>
  <c r="O218"/>
  <c r="U218"/>
  <c r="S218"/>
  <c r="R218"/>
  <c r="T218"/>
  <c r="Q218"/>
  <c r="L218"/>
  <c r="A220" l="1"/>
  <c r="Z219"/>
  <c r="O219"/>
  <c r="R219"/>
  <c r="U219"/>
  <c r="L219"/>
  <c r="S219"/>
  <c r="Q219"/>
  <c r="T219"/>
  <c r="A221" l="1"/>
  <c r="Z220"/>
  <c r="O220"/>
  <c r="U220"/>
  <c r="S220"/>
  <c r="R220"/>
  <c r="T220"/>
  <c r="Q220"/>
  <c r="L220"/>
  <c r="A222" l="1"/>
  <c r="Z221"/>
  <c r="O221"/>
  <c r="Q221"/>
  <c r="U221"/>
  <c r="L221"/>
  <c r="S221"/>
  <c r="R221"/>
  <c r="T221"/>
  <c r="A223" l="1"/>
  <c r="Z222"/>
  <c r="O222"/>
  <c r="Q222"/>
  <c r="L222"/>
  <c r="S222"/>
  <c r="R222"/>
  <c r="T222"/>
  <c r="U222"/>
  <c r="A224" l="1"/>
  <c r="Z223"/>
  <c r="O223"/>
  <c r="R223"/>
  <c r="U223"/>
  <c r="S223"/>
  <c r="Q223"/>
  <c r="T223"/>
  <c r="L223"/>
  <c r="A225" l="1"/>
  <c r="Z224"/>
  <c r="O224"/>
  <c r="U224"/>
  <c r="S224"/>
  <c r="R224"/>
  <c r="T224"/>
  <c r="Q224"/>
  <c r="L224"/>
  <c r="A226" l="1"/>
  <c r="Z225"/>
  <c r="O225"/>
  <c r="Q225"/>
  <c r="U225"/>
  <c r="L225"/>
  <c r="S225"/>
  <c r="R225"/>
  <c r="T225"/>
  <c r="A227" l="1"/>
  <c r="Z226"/>
  <c r="O226"/>
  <c r="U226"/>
  <c r="S226"/>
  <c r="R226"/>
  <c r="T226"/>
  <c r="Q226"/>
  <c r="L226"/>
  <c r="A228" l="1"/>
  <c r="Z227"/>
  <c r="O227"/>
  <c r="R227"/>
  <c r="U227"/>
  <c r="L227"/>
  <c r="S227"/>
  <c r="Q227"/>
  <c r="T227"/>
  <c r="A229" l="1"/>
  <c r="Z228"/>
  <c r="O228"/>
  <c r="Q228"/>
  <c r="L228"/>
  <c r="S228"/>
  <c r="R228"/>
  <c r="T228"/>
  <c r="U228"/>
  <c r="A230" l="1"/>
  <c r="Z229"/>
  <c r="O229"/>
  <c r="Q229"/>
  <c r="U229"/>
  <c r="S229"/>
  <c r="R229"/>
  <c r="T229"/>
  <c r="L229"/>
  <c r="A231" l="1"/>
  <c r="Z230"/>
  <c r="O230"/>
  <c r="U230"/>
  <c r="S230"/>
  <c r="R230"/>
  <c r="T230"/>
  <c r="Q230"/>
  <c r="L230"/>
  <c r="A232" l="1"/>
  <c r="Z231"/>
  <c r="O231"/>
  <c r="R231"/>
  <c r="L231"/>
  <c r="S231"/>
  <c r="Q231"/>
  <c r="T231"/>
  <c r="U231"/>
  <c r="A131"/>
  <c r="A127"/>
  <c r="A233" l="1"/>
  <c r="Z232"/>
  <c r="O232"/>
  <c r="U232"/>
  <c r="S232"/>
  <c r="R232"/>
  <c r="T232"/>
  <c r="Q232"/>
  <c r="L232"/>
  <c r="A234" l="1"/>
  <c r="Z233"/>
  <c r="O233"/>
  <c r="Q233"/>
  <c r="U233"/>
  <c r="L233"/>
  <c r="S233"/>
  <c r="R233"/>
  <c r="T233"/>
  <c r="A235" l="1"/>
  <c r="Z234"/>
  <c r="O234"/>
  <c r="Q234"/>
  <c r="U234"/>
  <c r="S234"/>
  <c r="R234"/>
  <c r="T234"/>
  <c r="L234"/>
  <c r="A236" l="1"/>
  <c r="Z235"/>
  <c r="O235"/>
  <c r="R235"/>
  <c r="U235"/>
  <c r="L235"/>
  <c r="S235"/>
  <c r="Q235"/>
  <c r="T235"/>
  <c r="A237" l="1"/>
  <c r="Z236"/>
  <c r="O236"/>
  <c r="Q236"/>
  <c r="U236"/>
  <c r="S236"/>
  <c r="R236"/>
  <c r="T236"/>
  <c r="L236"/>
  <c r="A238" l="1"/>
  <c r="Z237"/>
  <c r="L237"/>
  <c r="O237"/>
  <c r="Q237"/>
  <c r="U237"/>
  <c r="S237"/>
  <c r="R237"/>
  <c r="T237"/>
  <c r="A239" l="1"/>
  <c r="Z238"/>
  <c r="O238"/>
  <c r="Q238"/>
  <c r="U238"/>
  <c r="L238"/>
  <c r="S238"/>
  <c r="R238"/>
  <c r="T238"/>
  <c r="A240" l="1"/>
  <c r="Z239"/>
  <c r="O239"/>
  <c r="R239"/>
  <c r="L239"/>
  <c r="S239"/>
  <c r="Q239"/>
  <c r="T239"/>
  <c r="U239"/>
  <c r="G57"/>
  <c r="G59" s="1"/>
  <c r="A241" l="1"/>
  <c r="Z240"/>
  <c r="O240"/>
  <c r="Q240"/>
  <c r="L240"/>
  <c r="S240"/>
  <c r="R240"/>
  <c r="T240"/>
  <c r="U240"/>
  <c r="A242" l="1"/>
  <c r="Z241"/>
  <c r="O241"/>
  <c r="Q241"/>
  <c r="L241"/>
  <c r="S241"/>
  <c r="R241"/>
  <c r="T241"/>
  <c r="U241"/>
  <c r="A243" l="1"/>
  <c r="Z242"/>
  <c r="O242"/>
  <c r="Q242"/>
  <c r="L242"/>
  <c r="S242"/>
  <c r="R242"/>
  <c r="T242"/>
  <c r="U242"/>
  <c r="A244" l="1"/>
  <c r="Z243"/>
  <c r="O243"/>
  <c r="R243"/>
  <c r="U243"/>
  <c r="L243"/>
  <c r="S243"/>
  <c r="Q243"/>
  <c r="T243"/>
  <c r="A245" l="1"/>
  <c r="Z244"/>
  <c r="O244"/>
  <c r="Q244"/>
  <c r="U244"/>
  <c r="L244"/>
  <c r="S244"/>
  <c r="R244"/>
  <c r="T244"/>
  <c r="A246" l="1"/>
  <c r="Z245"/>
  <c r="O245"/>
  <c r="Q245"/>
  <c r="U245"/>
  <c r="L245"/>
  <c r="S245"/>
  <c r="R245"/>
  <c r="T245"/>
  <c r="A247" l="1"/>
  <c r="Z246"/>
  <c r="O246"/>
  <c r="Q246"/>
  <c r="U246"/>
  <c r="L246"/>
  <c r="S246"/>
  <c r="R246"/>
  <c r="T246"/>
  <c r="A248" l="1"/>
  <c r="Z247"/>
  <c r="O247"/>
  <c r="R247"/>
  <c r="L247"/>
  <c r="S247"/>
  <c r="Q247"/>
  <c r="T247"/>
  <c r="U247"/>
  <c r="A249" l="1"/>
  <c r="Z248"/>
  <c r="O248"/>
  <c r="Q248"/>
  <c r="L248"/>
  <c r="S248"/>
  <c r="R248"/>
  <c r="T248"/>
  <c r="U248"/>
  <c r="A250" l="1"/>
  <c r="Z249"/>
  <c r="O249"/>
  <c r="Q249"/>
  <c r="L249"/>
  <c r="S249"/>
  <c r="R249"/>
  <c r="T249"/>
  <c r="U249"/>
  <c r="A251" l="1"/>
  <c r="Z250"/>
  <c r="O250"/>
  <c r="Q250"/>
  <c r="L250"/>
  <c r="S250"/>
  <c r="R250"/>
  <c r="T250"/>
  <c r="U250"/>
  <c r="A252" l="1"/>
  <c r="Z251"/>
  <c r="O251"/>
  <c r="U251"/>
  <c r="S251"/>
  <c r="Q251"/>
  <c r="T251"/>
  <c r="R251"/>
  <c r="L251"/>
  <c r="A253" l="1"/>
  <c r="Z252"/>
  <c r="O252"/>
  <c r="Q252"/>
  <c r="L252"/>
  <c r="S252"/>
  <c r="R252"/>
  <c r="T252"/>
  <c r="M252"/>
  <c r="U252"/>
  <c r="A254" l="1"/>
  <c r="Z253"/>
  <c r="O253"/>
  <c r="Q253"/>
  <c r="U253"/>
  <c r="S253"/>
  <c r="R253"/>
  <c r="T253"/>
  <c r="M253"/>
  <c r="L253"/>
  <c r="A255" l="1"/>
  <c r="Z254"/>
  <c r="O254"/>
  <c r="Q254"/>
  <c r="U254"/>
  <c r="L254"/>
  <c r="S254"/>
  <c r="R254"/>
  <c r="T254"/>
  <c r="M254"/>
  <c r="A256" l="1"/>
  <c r="Z255"/>
  <c r="O255"/>
  <c r="R255"/>
  <c r="L255"/>
  <c r="S255"/>
  <c r="Q255"/>
  <c r="T255"/>
  <c r="M255"/>
  <c r="U255"/>
  <c r="A257" l="1"/>
  <c r="Z256"/>
  <c r="O256"/>
  <c r="Q256"/>
  <c r="U256"/>
  <c r="S256"/>
  <c r="R256"/>
  <c r="T256"/>
  <c r="M256"/>
  <c r="L256"/>
  <c r="A258" l="1"/>
  <c r="Z257"/>
  <c r="O257"/>
  <c r="Q257"/>
  <c r="U257"/>
  <c r="L257"/>
  <c r="S257"/>
  <c r="R257"/>
  <c r="T257"/>
  <c r="M257"/>
  <c r="A259" l="1"/>
  <c r="Z258"/>
  <c r="O258"/>
  <c r="Q258"/>
  <c r="U258"/>
  <c r="L258"/>
  <c r="S258"/>
  <c r="R258"/>
  <c r="T258"/>
  <c r="M258"/>
  <c r="A260" l="1"/>
  <c r="Z259"/>
  <c r="O259"/>
  <c r="R259"/>
  <c r="U259"/>
  <c r="L259"/>
  <c r="S259"/>
  <c r="Q259"/>
  <c r="T259"/>
  <c r="M259"/>
  <c r="A261" l="1"/>
  <c r="Z260"/>
  <c r="O260"/>
  <c r="Q260"/>
  <c r="U260"/>
  <c r="L260"/>
  <c r="S260"/>
  <c r="R260"/>
  <c r="T260"/>
  <c r="M260"/>
  <c r="A262" l="1"/>
  <c r="Z261"/>
  <c r="O261"/>
  <c r="Q261"/>
  <c r="U261"/>
  <c r="L261"/>
  <c r="S261"/>
  <c r="R261"/>
  <c r="T261"/>
  <c r="M261"/>
  <c r="E130"/>
  <c r="A263" l="1"/>
  <c r="Z262"/>
  <c r="O262"/>
  <c r="Q262"/>
  <c r="U262"/>
  <c r="L262"/>
  <c r="S262"/>
  <c r="R262"/>
  <c r="T262"/>
  <c r="M262"/>
  <c r="O130"/>
  <c r="Q130"/>
  <c r="S130"/>
  <c r="R130"/>
  <c r="U130"/>
  <c r="T130"/>
  <c r="E129"/>
  <c r="A264" l="1"/>
  <c r="Z263"/>
  <c r="L263"/>
  <c r="M263"/>
  <c r="O263"/>
  <c r="Q263"/>
  <c r="U263"/>
  <c r="S263"/>
  <c r="R263"/>
  <c r="T263"/>
  <c r="O129"/>
  <c r="Q129"/>
  <c r="S129"/>
  <c r="R129"/>
  <c r="U129"/>
  <c r="T129"/>
  <c r="E126"/>
  <c r="A265" l="1"/>
  <c r="Z264"/>
  <c r="M264"/>
  <c r="L264"/>
  <c r="T264"/>
  <c r="O264"/>
  <c r="Q264"/>
  <c r="U264"/>
  <c r="S264"/>
  <c r="R264"/>
  <c r="O126"/>
  <c r="Q126"/>
  <c r="S126"/>
  <c r="R126"/>
  <c r="U126"/>
  <c r="T126"/>
  <c r="E125"/>
  <c r="E127"/>
  <c r="A266" l="1"/>
  <c r="Z265"/>
  <c r="L265"/>
  <c r="M265"/>
  <c r="S265"/>
  <c r="Q265"/>
  <c r="T265"/>
  <c r="O265"/>
  <c r="R265"/>
  <c r="U265"/>
  <c r="O127"/>
  <c r="Q127"/>
  <c r="S127"/>
  <c r="R127"/>
  <c r="U127"/>
  <c r="T127"/>
  <c r="O125"/>
  <c r="Q125"/>
  <c r="S125"/>
  <c r="R125"/>
  <c r="U125"/>
  <c r="T125"/>
  <c r="A267" l="1"/>
  <c r="Z266"/>
  <c r="M266"/>
  <c r="L266"/>
  <c r="O266"/>
  <c r="Q266"/>
  <c r="U266"/>
  <c r="S266"/>
  <c r="R266"/>
  <c r="T266"/>
  <c r="M227"/>
  <c r="E121"/>
  <c r="A268" l="1"/>
  <c r="Z267"/>
  <c r="L267"/>
  <c r="M267"/>
  <c r="O267"/>
  <c r="Q267"/>
  <c r="U267"/>
  <c r="S267"/>
  <c r="R267"/>
  <c r="T267"/>
  <c r="O121"/>
  <c r="S121"/>
  <c r="Q121"/>
  <c r="U121"/>
  <c r="R121"/>
  <c r="T121"/>
  <c r="M188"/>
  <c r="M250"/>
  <c r="M164"/>
  <c r="M101"/>
  <c r="M215"/>
  <c r="M161"/>
  <c r="M200"/>
  <c r="M232"/>
  <c r="M212"/>
  <c r="M202"/>
  <c r="M213"/>
  <c r="M228"/>
  <c r="M155"/>
  <c r="M95"/>
  <c r="M190"/>
  <c r="M107"/>
  <c r="M205"/>
  <c r="M225"/>
  <c r="M160"/>
  <c r="M226"/>
  <c r="M248"/>
  <c r="M139"/>
  <c r="M154"/>
  <c r="M145"/>
  <c r="M211"/>
  <c r="M251"/>
  <c r="M246"/>
  <c r="M138"/>
  <c r="M169"/>
  <c r="M147"/>
  <c r="M209"/>
  <c r="M166"/>
  <c r="M150"/>
  <c r="M207"/>
  <c r="M218"/>
  <c r="M167"/>
  <c r="M214"/>
  <c r="M98"/>
  <c r="M208"/>
  <c r="M129"/>
  <c r="M177"/>
  <c r="M221"/>
  <c r="M245"/>
  <c r="M174"/>
  <c r="M240"/>
  <c r="M126"/>
  <c r="M106"/>
  <c r="M151"/>
  <c r="M136"/>
  <c r="M175"/>
  <c r="M110"/>
  <c r="M162"/>
  <c r="M247"/>
  <c r="M111"/>
  <c r="M140"/>
  <c r="M113"/>
  <c r="M216"/>
  <c r="M199"/>
  <c r="M130"/>
  <c r="M152"/>
  <c r="M194"/>
  <c r="M237"/>
  <c r="M204"/>
  <c r="M182"/>
  <c r="M186"/>
  <c r="M187"/>
  <c r="M109"/>
  <c r="M97"/>
  <c r="M243"/>
  <c r="M196"/>
  <c r="M189"/>
  <c r="M144"/>
  <c r="M148"/>
  <c r="M241"/>
  <c r="M176"/>
  <c r="M168"/>
  <c r="M99"/>
  <c r="M193"/>
  <c r="M219"/>
  <c r="M197"/>
  <c r="M121"/>
  <c r="M159"/>
  <c r="M185"/>
  <c r="M198"/>
  <c r="M242"/>
  <c r="M238"/>
  <c r="M192"/>
  <c r="M170"/>
  <c r="M236"/>
  <c r="M105"/>
  <c r="M137"/>
  <c r="M157"/>
  <c r="M184"/>
  <c r="M235"/>
  <c r="M92"/>
  <c r="M158"/>
  <c r="M181"/>
  <c r="M171"/>
  <c r="M156"/>
  <c r="M173"/>
  <c r="M102"/>
  <c r="M195"/>
  <c r="M180"/>
  <c r="M103"/>
  <c r="M203"/>
  <c r="M239"/>
  <c r="M223"/>
  <c r="M220"/>
  <c r="M210"/>
  <c r="M153"/>
  <c r="M163"/>
  <c r="M217"/>
  <c r="M229"/>
  <c r="M94"/>
  <c r="M224"/>
  <c r="M127"/>
  <c r="M183"/>
  <c r="M244"/>
  <c r="M191"/>
  <c r="M125"/>
  <c r="M249"/>
  <c r="M179"/>
  <c r="M172"/>
  <c r="M201"/>
  <c r="M146"/>
  <c r="M206"/>
  <c r="M222"/>
  <c r="M234"/>
  <c r="M233"/>
  <c r="M149"/>
  <c r="M143"/>
  <c r="M165"/>
  <c r="M231"/>
  <c r="M178"/>
  <c r="M230"/>
  <c r="E118"/>
  <c r="A269" l="1"/>
  <c r="Z268"/>
  <c r="S268"/>
  <c r="T268"/>
  <c r="O268"/>
  <c r="Q268"/>
  <c r="U268"/>
  <c r="M268"/>
  <c r="R268"/>
  <c r="L268"/>
  <c r="O118"/>
  <c r="S118"/>
  <c r="Q118"/>
  <c r="U118"/>
  <c r="R118"/>
  <c r="T118"/>
  <c r="E114"/>
  <c r="E117"/>
  <c r="E119"/>
  <c r="M118"/>
  <c r="A270" l="1"/>
  <c r="Z269"/>
  <c r="S269"/>
  <c r="Q269"/>
  <c r="T269"/>
  <c r="M269"/>
  <c r="O269"/>
  <c r="R269"/>
  <c r="U269"/>
  <c r="L269"/>
  <c r="O119"/>
  <c r="S119"/>
  <c r="Q119"/>
  <c r="U119"/>
  <c r="R119"/>
  <c r="T119"/>
  <c r="O114"/>
  <c r="S114"/>
  <c r="Q114"/>
  <c r="U114"/>
  <c r="R114"/>
  <c r="T114"/>
  <c r="O117"/>
  <c r="S117"/>
  <c r="Q117"/>
  <c r="U117"/>
  <c r="R117"/>
  <c r="T117"/>
  <c r="L114"/>
  <c r="L121"/>
  <c r="L106"/>
  <c r="L129"/>
  <c r="L105"/>
  <c r="L99"/>
  <c r="L113"/>
  <c r="L98"/>
  <c r="L127"/>
  <c r="L110"/>
  <c r="L107"/>
  <c r="L130"/>
  <c r="L118"/>
  <c r="L102"/>
  <c r="L97"/>
  <c r="L101"/>
  <c r="L94"/>
  <c r="L103"/>
  <c r="L126"/>
  <c r="L109"/>
  <c r="L92"/>
  <c r="L111"/>
  <c r="L95"/>
  <c r="L125"/>
  <c r="L117"/>
  <c r="M119"/>
  <c r="E115"/>
  <c r="M114"/>
  <c r="M117"/>
  <c r="L119"/>
  <c r="A271" l="1"/>
  <c r="Z270"/>
  <c r="S270"/>
  <c r="R270"/>
  <c r="T270"/>
  <c r="L270"/>
  <c r="O270"/>
  <c r="Q270"/>
  <c r="U270"/>
  <c r="M270"/>
  <c r="O115"/>
  <c r="S115"/>
  <c r="Q115"/>
  <c r="U115"/>
  <c r="R115"/>
  <c r="T115"/>
  <c r="M115"/>
  <c r="L115"/>
  <c r="A272" l="1"/>
  <c r="Z271"/>
  <c r="S271"/>
  <c r="R271"/>
  <c r="T271"/>
  <c r="L271"/>
  <c r="O271"/>
  <c r="Q271"/>
  <c r="U271"/>
  <c r="M271"/>
  <c r="G23"/>
  <c r="G26" s="1"/>
  <c r="A273" l="1"/>
  <c r="Z272"/>
  <c r="O272"/>
  <c r="Q272"/>
  <c r="U272"/>
  <c r="M272"/>
  <c r="S272"/>
  <c r="R272"/>
  <c r="T272"/>
  <c r="L272"/>
  <c r="G32"/>
  <c r="G33" s="1"/>
  <c r="G34" s="1"/>
  <c r="A274" l="1"/>
  <c r="Z273"/>
  <c r="S273"/>
  <c r="Q273"/>
  <c r="T273"/>
  <c r="M273"/>
  <c r="O273"/>
  <c r="R273"/>
  <c r="U273"/>
  <c r="L273"/>
  <c r="G142"/>
  <c r="G141"/>
  <c r="G98"/>
  <c r="G105"/>
  <c r="G101"/>
  <c r="G94"/>
  <c r="G129"/>
  <c r="G114"/>
  <c r="G109"/>
  <c r="G113"/>
  <c r="G107"/>
  <c r="G111"/>
  <c r="G126"/>
  <c r="G119"/>
  <c r="G106"/>
  <c r="G103"/>
  <c r="G102"/>
  <c r="G99"/>
  <c r="G125"/>
  <c r="G121"/>
  <c r="G117"/>
  <c r="G95"/>
  <c r="G97"/>
  <c r="G110"/>
  <c r="G130"/>
  <c r="G127"/>
  <c r="G118"/>
  <c r="G115"/>
  <c r="G158"/>
  <c r="G272"/>
  <c r="G270"/>
  <c r="G252"/>
  <c r="G267"/>
  <c r="G263"/>
  <c r="G243"/>
  <c r="G235"/>
  <c r="G227"/>
  <c r="G219"/>
  <c r="G211"/>
  <c r="G203"/>
  <c r="G195"/>
  <c r="G187"/>
  <c r="G154"/>
  <c r="G155"/>
  <c r="G251"/>
  <c r="G274"/>
  <c r="G268"/>
  <c r="G266"/>
  <c r="G264"/>
  <c r="G273"/>
  <c r="G271"/>
  <c r="G269"/>
  <c r="G265"/>
  <c r="G247"/>
  <c r="G239"/>
  <c r="G231"/>
  <c r="G223"/>
  <c r="G215"/>
  <c r="G207"/>
  <c r="G199"/>
  <c r="G191"/>
  <c r="G183"/>
  <c r="G175"/>
  <c r="G157"/>
  <c r="G179"/>
  <c r="G146"/>
  <c r="G150"/>
  <c r="G255"/>
  <c r="G92"/>
  <c r="G248"/>
  <c r="G240"/>
  <c r="G232"/>
  <c r="G224"/>
  <c r="G216"/>
  <c r="G208"/>
  <c r="G196"/>
  <c r="G176"/>
  <c r="G159"/>
  <c r="G140"/>
  <c r="G245"/>
  <c r="G237"/>
  <c r="G229"/>
  <c r="G221"/>
  <c r="G213"/>
  <c r="G205"/>
  <c r="G197"/>
  <c r="G189"/>
  <c r="G181"/>
  <c r="G173"/>
  <c r="G164"/>
  <c r="G152"/>
  <c r="G246"/>
  <c r="G238"/>
  <c r="G230"/>
  <c r="G222"/>
  <c r="G214"/>
  <c r="G206"/>
  <c r="G198"/>
  <c r="G190"/>
  <c r="G182"/>
  <c r="G174"/>
  <c r="G165"/>
  <c r="G156"/>
  <c r="G167"/>
  <c r="G148"/>
  <c r="G204"/>
  <c r="G184"/>
  <c r="G172"/>
  <c r="G139"/>
  <c r="G253"/>
  <c r="G254"/>
  <c r="G257"/>
  <c r="G136"/>
  <c r="G171"/>
  <c r="G162"/>
  <c r="G145"/>
  <c r="G147"/>
  <c r="G149"/>
  <c r="G143"/>
  <c r="G166"/>
  <c r="G244"/>
  <c r="G236"/>
  <c r="G228"/>
  <c r="G220"/>
  <c r="G212"/>
  <c r="G200"/>
  <c r="G188"/>
  <c r="G168"/>
  <c r="G138"/>
  <c r="G249"/>
  <c r="G241"/>
  <c r="G233"/>
  <c r="G225"/>
  <c r="G217"/>
  <c r="G209"/>
  <c r="G201"/>
  <c r="G193"/>
  <c r="G185"/>
  <c r="G177"/>
  <c r="G169"/>
  <c r="G160"/>
  <c r="G250"/>
  <c r="G242"/>
  <c r="G234"/>
  <c r="G226"/>
  <c r="G218"/>
  <c r="G210"/>
  <c r="G202"/>
  <c r="G194"/>
  <c r="G186"/>
  <c r="G178"/>
  <c r="G170"/>
  <c r="G161"/>
  <c r="G153"/>
  <c r="G151"/>
  <c r="G144"/>
  <c r="G192"/>
  <c r="G180"/>
  <c r="G163"/>
  <c r="G137"/>
  <c r="G256"/>
  <c r="G258"/>
  <c r="G259"/>
  <c r="G260"/>
  <c r="G261"/>
  <c r="G262"/>
  <c r="H28"/>
  <c r="G51"/>
  <c r="G35"/>
  <c r="A275" l="1"/>
  <c r="Z274"/>
  <c r="S274"/>
  <c r="R274"/>
  <c r="T274"/>
  <c r="M274"/>
  <c r="O274"/>
  <c r="Q274"/>
  <c r="U274"/>
  <c r="L274"/>
  <c r="G75"/>
  <c r="G61"/>
  <c r="G65"/>
  <c r="H32"/>
  <c r="H33" s="1"/>
  <c r="G69" l="1"/>
  <c r="G70"/>
  <c r="A276"/>
  <c r="Z275"/>
  <c r="S275"/>
  <c r="R275"/>
  <c r="T275"/>
  <c r="L275"/>
  <c r="O275"/>
  <c r="Q275"/>
  <c r="U275"/>
  <c r="M275"/>
  <c r="G275"/>
  <c r="H142"/>
  <c r="H141"/>
  <c r="I28"/>
  <c r="G71"/>
  <c r="G76"/>
  <c r="A277" l="1"/>
  <c r="Z276"/>
  <c r="S276"/>
  <c r="R276"/>
  <c r="T276"/>
  <c r="M276"/>
  <c r="O276"/>
  <c r="Q276"/>
  <c r="U276"/>
  <c r="L276"/>
  <c r="G276"/>
  <c r="G77"/>
  <c r="I32"/>
  <c r="I33" s="1"/>
  <c r="G79" l="1"/>
  <c r="A278"/>
  <c r="Z277"/>
  <c r="T277"/>
  <c r="O277"/>
  <c r="R277"/>
  <c r="U277"/>
  <c r="M277"/>
  <c r="S277"/>
  <c r="Q277"/>
  <c r="L277"/>
  <c r="G277"/>
  <c r="G78"/>
  <c r="G80" s="1"/>
  <c r="J28"/>
  <c r="A279" l="1"/>
  <c r="Z278"/>
  <c r="S278"/>
  <c r="L278"/>
  <c r="O278"/>
  <c r="Q278"/>
  <c r="U278"/>
  <c r="M278"/>
  <c r="R278"/>
  <c r="T278"/>
  <c r="G278"/>
  <c r="G81"/>
  <c r="G90" s="1"/>
  <c r="J32"/>
  <c r="J33" s="1"/>
  <c r="A280" l="1"/>
  <c r="Z279"/>
  <c r="S279"/>
  <c r="R279"/>
  <c r="T279"/>
  <c r="L279"/>
  <c r="G279"/>
  <c r="O279"/>
  <c r="Q279"/>
  <c r="U279"/>
  <c r="M279"/>
  <c r="K28"/>
  <c r="G88"/>
  <c r="G89" s="1"/>
  <c r="A281" l="1"/>
  <c r="Z280"/>
  <c r="G280"/>
  <c r="O280"/>
  <c r="Q280"/>
  <c r="U280"/>
  <c r="M280"/>
  <c r="S280"/>
  <c r="R280"/>
  <c r="T280"/>
  <c r="L280"/>
  <c r="K32"/>
  <c r="K33" l="1"/>
  <c r="F32" s="1"/>
  <c r="A282"/>
  <c r="Z281"/>
  <c r="M281"/>
  <c r="H281"/>
  <c r="S281"/>
  <c r="Q281"/>
  <c r="T281"/>
  <c r="L281"/>
  <c r="G281"/>
  <c r="O281"/>
  <c r="R281"/>
  <c r="U281"/>
  <c r="H110"/>
  <c r="H130"/>
  <c r="H109"/>
  <c r="H99"/>
  <c r="H125"/>
  <c r="H103"/>
  <c r="H119"/>
  <c r="H101"/>
  <c r="H117"/>
  <c r="H105"/>
  <c r="H129"/>
  <c r="H106"/>
  <c r="H118"/>
  <c r="H107"/>
  <c r="H121"/>
  <c r="H102"/>
  <c r="H115"/>
  <c r="H127"/>
  <c r="H113"/>
  <c r="H126"/>
  <c r="H98"/>
  <c r="H111"/>
  <c r="H114"/>
  <c r="H97"/>
  <c r="H144"/>
  <c r="H234"/>
  <c r="H218"/>
  <c r="H202"/>
  <c r="H186"/>
  <c r="H170"/>
  <c r="H155"/>
  <c r="H149"/>
  <c r="H269"/>
  <c r="H233"/>
  <c r="H201"/>
  <c r="H169"/>
  <c r="H248"/>
  <c r="H230"/>
  <c r="H214"/>
  <c r="H198"/>
  <c r="H182"/>
  <c r="H165"/>
  <c r="H139"/>
  <c r="H267"/>
  <c r="H262"/>
  <c r="H254"/>
  <c r="H247"/>
  <c r="H231"/>
  <c r="H215"/>
  <c r="H199"/>
  <c r="H183"/>
  <c r="H143"/>
  <c r="H252"/>
  <c r="H265"/>
  <c r="H253"/>
  <c r="H245"/>
  <c r="H229"/>
  <c r="H213"/>
  <c r="H197"/>
  <c r="H181"/>
  <c r="H164"/>
  <c r="H95"/>
  <c r="H257"/>
  <c r="H250"/>
  <c r="H237"/>
  <c r="H221"/>
  <c r="H205"/>
  <c r="H189"/>
  <c r="H173"/>
  <c r="H152"/>
  <c r="H272"/>
  <c r="H146"/>
  <c r="H151"/>
  <c r="H271"/>
  <c r="H256"/>
  <c r="H246"/>
  <c r="H251"/>
  <c r="H235"/>
  <c r="H219"/>
  <c r="H203"/>
  <c r="H187"/>
  <c r="H171"/>
  <c r="H270"/>
  <c r="H92"/>
  <c r="H232"/>
  <c r="H216"/>
  <c r="H200"/>
  <c r="H184"/>
  <c r="H168"/>
  <c r="H153"/>
  <c r="H255"/>
  <c r="H249"/>
  <c r="H217"/>
  <c r="H185"/>
  <c r="H140"/>
  <c r="H268"/>
  <c r="H145"/>
  <c r="H266"/>
  <c r="H244"/>
  <c r="H228"/>
  <c r="H212"/>
  <c r="H196"/>
  <c r="H180"/>
  <c r="H163"/>
  <c r="H261"/>
  <c r="H147"/>
  <c r="H280"/>
  <c r="H264"/>
  <c r="H242"/>
  <c r="H226"/>
  <c r="H137"/>
  <c r="H158"/>
  <c r="H224"/>
  <c r="H208"/>
  <c r="H176"/>
  <c r="H241"/>
  <c r="H225"/>
  <c r="H209"/>
  <c r="H193"/>
  <c r="H177"/>
  <c r="H160"/>
  <c r="H148"/>
  <c r="H275"/>
  <c r="H175"/>
  <c r="H258"/>
  <c r="H157"/>
  <c r="H274"/>
  <c r="H236"/>
  <c r="H166"/>
  <c r="H210"/>
  <c r="H194"/>
  <c r="H178"/>
  <c r="H161"/>
  <c r="H167"/>
  <c r="H279"/>
  <c r="H263"/>
  <c r="H260"/>
  <c r="H243"/>
  <c r="H227"/>
  <c r="H211"/>
  <c r="H195"/>
  <c r="H179"/>
  <c r="H162"/>
  <c r="H278"/>
  <c r="H240"/>
  <c r="H192"/>
  <c r="H159"/>
  <c r="H150"/>
  <c r="H277"/>
  <c r="H259"/>
  <c r="H154"/>
  <c r="H276"/>
  <c r="H136"/>
  <c r="H238"/>
  <c r="H222"/>
  <c r="H206"/>
  <c r="H190"/>
  <c r="H174"/>
  <c r="H156"/>
  <c r="H239"/>
  <c r="H207"/>
  <c r="H220"/>
  <c r="H188"/>
  <c r="H223"/>
  <c r="H191"/>
  <c r="H204"/>
  <c r="H172"/>
  <c r="H138"/>
  <c r="H273"/>
  <c r="I22"/>
  <c r="H94"/>
  <c r="H23"/>
  <c r="H26" s="1"/>
  <c r="H35" l="1"/>
  <c r="H75" s="1"/>
  <c r="H34"/>
  <c r="A283"/>
  <c r="Z282"/>
  <c r="H282"/>
  <c r="S282"/>
  <c r="R282"/>
  <c r="T282"/>
  <c r="M282"/>
  <c r="O282"/>
  <c r="Q282"/>
  <c r="U282"/>
  <c r="L282"/>
  <c r="G282"/>
  <c r="I141"/>
  <c r="I142"/>
  <c r="I23"/>
  <c r="I26" s="1"/>
  <c r="I281"/>
  <c r="I282"/>
  <c r="I283"/>
  <c r="I98"/>
  <c r="H51"/>
  <c r="I139"/>
  <c r="I198"/>
  <c r="I274"/>
  <c r="I189"/>
  <c r="I102"/>
  <c r="I126"/>
  <c r="I143"/>
  <c r="I212"/>
  <c r="I219"/>
  <c r="I252"/>
  <c r="I263"/>
  <c r="I178"/>
  <c r="I270"/>
  <c r="I185"/>
  <c r="I106"/>
  <c r="I130"/>
  <c r="I150"/>
  <c r="I208"/>
  <c r="I145"/>
  <c r="I199"/>
  <c r="I238"/>
  <c r="I174"/>
  <c r="I240"/>
  <c r="I164"/>
  <c r="I229"/>
  <c r="I257"/>
  <c r="I273"/>
  <c r="I188"/>
  <c r="I264"/>
  <c r="I179"/>
  <c r="I243"/>
  <c r="I151"/>
  <c r="I202"/>
  <c r="I278"/>
  <c r="I193"/>
  <c r="I113"/>
  <c r="I125"/>
  <c r="I153"/>
  <c r="I216"/>
  <c r="I207"/>
  <c r="I97"/>
  <c r="I117"/>
  <c r="I214"/>
  <c r="I144"/>
  <c r="I205"/>
  <c r="I109"/>
  <c r="I114"/>
  <c r="I163"/>
  <c r="I228"/>
  <c r="I171"/>
  <c r="I235"/>
  <c r="I260"/>
  <c r="I279"/>
  <c r="I194"/>
  <c r="I201"/>
  <c r="I242"/>
  <c r="I118"/>
  <c r="I159"/>
  <c r="I224"/>
  <c r="I215"/>
  <c r="I250"/>
  <c r="I275"/>
  <c r="I190"/>
  <c r="I266"/>
  <c r="I181"/>
  <c r="I245"/>
  <c r="I138"/>
  <c r="I204"/>
  <c r="I280"/>
  <c r="I195"/>
  <c r="I111"/>
  <c r="I146"/>
  <c r="I218"/>
  <c r="I154"/>
  <c r="I209"/>
  <c r="I94"/>
  <c r="I115"/>
  <c r="I168"/>
  <c r="I232"/>
  <c r="I157"/>
  <c r="I223"/>
  <c r="I254"/>
  <c r="I121"/>
  <c r="I165"/>
  <c r="I230"/>
  <c r="I152"/>
  <c r="I221"/>
  <c r="I253"/>
  <c r="I265"/>
  <c r="I180"/>
  <c r="I272"/>
  <c r="I187"/>
  <c r="I136"/>
  <c r="I129"/>
  <c r="I167"/>
  <c r="I210"/>
  <c r="I140"/>
  <c r="I217"/>
  <c r="I251"/>
  <c r="I176"/>
  <c r="I244"/>
  <c r="I166"/>
  <c r="I231"/>
  <c r="I258"/>
  <c r="I148"/>
  <c r="I206"/>
  <c r="I248"/>
  <c r="I197"/>
  <c r="I103"/>
  <c r="I220"/>
  <c r="I137"/>
  <c r="I211"/>
  <c r="I92"/>
  <c r="I170"/>
  <c r="I234"/>
  <c r="I160"/>
  <c r="I225"/>
  <c r="I255"/>
  <c r="I269"/>
  <c r="I184"/>
  <c r="I110"/>
  <c r="I175"/>
  <c r="I239"/>
  <c r="I262"/>
  <c r="I267"/>
  <c r="I182"/>
  <c r="I95"/>
  <c r="I173"/>
  <c r="I237"/>
  <c r="I261"/>
  <c r="I247"/>
  <c r="I196"/>
  <c r="I155"/>
  <c r="I203"/>
  <c r="I246"/>
  <c r="I119"/>
  <c r="I161"/>
  <c r="I226"/>
  <c r="I169"/>
  <c r="I233"/>
  <c r="I259"/>
  <c r="I277"/>
  <c r="I192"/>
  <c r="I268"/>
  <c r="I183"/>
  <c r="I107"/>
  <c r="I156"/>
  <c r="I222"/>
  <c r="I147"/>
  <c r="I213"/>
  <c r="I249"/>
  <c r="I172"/>
  <c r="I236"/>
  <c r="I162"/>
  <c r="I227"/>
  <c r="I256"/>
  <c r="I271"/>
  <c r="I186"/>
  <c r="I158"/>
  <c r="I177"/>
  <c r="I241"/>
  <c r="I149"/>
  <c r="I200"/>
  <c r="I276"/>
  <c r="I191"/>
  <c r="I105"/>
  <c r="I127"/>
  <c r="I101"/>
  <c r="I99"/>
  <c r="J22"/>
  <c r="I51" l="1"/>
  <c r="I34"/>
  <c r="A284"/>
  <c r="Z283"/>
  <c r="S283"/>
  <c r="R283"/>
  <c r="T283"/>
  <c r="M283"/>
  <c r="H283"/>
  <c r="O283"/>
  <c r="Q283"/>
  <c r="U283"/>
  <c r="L283"/>
  <c r="G283"/>
  <c r="J142"/>
  <c r="J141"/>
  <c r="I35"/>
  <c r="I61" s="1"/>
  <c r="J282"/>
  <c r="J281"/>
  <c r="J283"/>
  <c r="J284"/>
  <c r="H65"/>
  <c r="H61"/>
  <c r="J146"/>
  <c r="J199"/>
  <c r="J279"/>
  <c r="J193"/>
  <c r="J265"/>
  <c r="J179"/>
  <c r="J243"/>
  <c r="J173"/>
  <c r="J237"/>
  <c r="J156"/>
  <c r="J190"/>
  <c r="J106"/>
  <c r="J115"/>
  <c r="J163"/>
  <c r="J228"/>
  <c r="J170"/>
  <c r="J234"/>
  <c r="J261"/>
  <c r="J276"/>
  <c r="J192"/>
  <c r="J101"/>
  <c r="J157"/>
  <c r="J223"/>
  <c r="J149"/>
  <c r="J217"/>
  <c r="J137"/>
  <c r="J203"/>
  <c r="J250"/>
  <c r="J197"/>
  <c r="J266"/>
  <c r="J278"/>
  <c r="J214"/>
  <c r="J251"/>
  <c r="J172"/>
  <c r="J236"/>
  <c r="J262"/>
  <c r="J226"/>
  <c r="J257"/>
  <c r="J268"/>
  <c r="J184"/>
  <c r="J248"/>
  <c r="J129"/>
  <c r="J139"/>
  <c r="J215"/>
  <c r="J138"/>
  <c r="J209"/>
  <c r="J249"/>
  <c r="J195"/>
  <c r="J275"/>
  <c r="J189"/>
  <c r="J158"/>
  <c r="J97"/>
  <c r="J206"/>
  <c r="J255"/>
  <c r="J264"/>
  <c r="J180"/>
  <c r="J244"/>
  <c r="J121"/>
  <c r="J186"/>
  <c r="J110"/>
  <c r="J126"/>
  <c r="J153"/>
  <c r="J208"/>
  <c r="J98"/>
  <c r="J175"/>
  <c r="J239"/>
  <c r="J169"/>
  <c r="J233"/>
  <c r="J151"/>
  <c r="J219"/>
  <c r="J150"/>
  <c r="J213"/>
  <c r="J140"/>
  <c r="J161"/>
  <c r="J230"/>
  <c r="J259"/>
  <c r="J272"/>
  <c r="J188"/>
  <c r="J95"/>
  <c r="J127"/>
  <c r="J178"/>
  <c r="J242"/>
  <c r="J200"/>
  <c r="J245"/>
  <c r="J114"/>
  <c r="J166"/>
  <c r="J231"/>
  <c r="J160"/>
  <c r="J225"/>
  <c r="J148"/>
  <c r="J211"/>
  <c r="J147"/>
  <c r="J205"/>
  <c r="J274"/>
  <c r="J144"/>
  <c r="J222"/>
  <c r="J280"/>
  <c r="J196"/>
  <c r="J99"/>
  <c r="J202"/>
  <c r="J92"/>
  <c r="J119"/>
  <c r="J159"/>
  <c r="J224"/>
  <c r="J256"/>
  <c r="J277"/>
  <c r="J191"/>
  <c r="J271"/>
  <c r="J185"/>
  <c r="J111"/>
  <c r="J171"/>
  <c r="J235"/>
  <c r="J164"/>
  <c r="J229"/>
  <c r="J154"/>
  <c r="J182"/>
  <c r="J246"/>
  <c r="J130"/>
  <c r="J143"/>
  <c r="J204"/>
  <c r="J107"/>
  <c r="J117"/>
  <c r="J194"/>
  <c r="J136"/>
  <c r="J145"/>
  <c r="J216"/>
  <c r="J252"/>
  <c r="J269"/>
  <c r="J183"/>
  <c r="J263"/>
  <c r="J177"/>
  <c r="J241"/>
  <c r="J162"/>
  <c r="J227"/>
  <c r="J167"/>
  <c r="J221"/>
  <c r="J174"/>
  <c r="J238"/>
  <c r="J125"/>
  <c r="J212"/>
  <c r="J258"/>
  <c r="J152"/>
  <c r="J218"/>
  <c r="J253"/>
  <c r="J94"/>
  <c r="J176"/>
  <c r="J240"/>
  <c r="J207"/>
  <c r="J201"/>
  <c r="J273"/>
  <c r="J187"/>
  <c r="J267"/>
  <c r="J181"/>
  <c r="J247"/>
  <c r="J165"/>
  <c r="J198"/>
  <c r="J113"/>
  <c r="J118"/>
  <c r="J155"/>
  <c r="J220"/>
  <c r="J254"/>
  <c r="J270"/>
  <c r="J210"/>
  <c r="J109"/>
  <c r="J168"/>
  <c r="J232"/>
  <c r="J260"/>
  <c r="J105"/>
  <c r="J103"/>
  <c r="J23"/>
  <c r="J102"/>
  <c r="K22"/>
  <c r="F22" s="1"/>
  <c r="J34" l="1"/>
  <c r="J26"/>
  <c r="H69"/>
  <c r="H71" s="1"/>
  <c r="H70"/>
  <c r="A285"/>
  <c r="Z284"/>
  <c r="S284"/>
  <c r="R284"/>
  <c r="T284"/>
  <c r="M284"/>
  <c r="H284"/>
  <c r="O284"/>
  <c r="Q284"/>
  <c r="U284"/>
  <c r="L284"/>
  <c r="G284"/>
  <c r="I284"/>
  <c r="K285"/>
  <c r="I65"/>
  <c r="K142"/>
  <c r="E142" s="1"/>
  <c r="K141"/>
  <c r="E141" s="1"/>
  <c r="I75"/>
  <c r="I76" s="1"/>
  <c r="I77" s="1"/>
  <c r="I79" s="1"/>
  <c r="K281"/>
  <c r="E281" s="1"/>
  <c r="K282"/>
  <c r="E282" s="1"/>
  <c r="K284"/>
  <c r="K283"/>
  <c r="E283" s="1"/>
  <c r="H76"/>
  <c r="K220"/>
  <c r="E220" s="1"/>
  <c r="K207"/>
  <c r="K258"/>
  <c r="K275"/>
  <c r="E275" s="1"/>
  <c r="K190"/>
  <c r="E190" s="1"/>
  <c r="K136"/>
  <c r="E136" s="1"/>
  <c r="K177"/>
  <c r="K241"/>
  <c r="E241" s="1"/>
  <c r="K130"/>
  <c r="K150"/>
  <c r="K208"/>
  <c r="E208" s="1"/>
  <c r="K278"/>
  <c r="K195"/>
  <c r="K98"/>
  <c r="K263"/>
  <c r="E263" s="1"/>
  <c r="K178"/>
  <c r="K242"/>
  <c r="K164"/>
  <c r="K229"/>
  <c r="E229" s="1"/>
  <c r="K261"/>
  <c r="E261" s="1"/>
  <c r="K265"/>
  <c r="K180"/>
  <c r="K172"/>
  <c r="K236"/>
  <c r="K157"/>
  <c r="E157" s="1"/>
  <c r="K223"/>
  <c r="K148"/>
  <c r="K206"/>
  <c r="K276"/>
  <c r="K193"/>
  <c r="K94"/>
  <c r="K118"/>
  <c r="K159"/>
  <c r="K224"/>
  <c r="E224" s="1"/>
  <c r="K137"/>
  <c r="K211"/>
  <c r="E211" s="1"/>
  <c r="K260"/>
  <c r="K279"/>
  <c r="K194"/>
  <c r="K264"/>
  <c r="K181"/>
  <c r="K245"/>
  <c r="E245" s="1"/>
  <c r="K126"/>
  <c r="K163"/>
  <c r="K228"/>
  <c r="K145"/>
  <c r="E145" s="1"/>
  <c r="K199"/>
  <c r="E199" s="1"/>
  <c r="K103"/>
  <c r="K114"/>
  <c r="K165"/>
  <c r="K230"/>
  <c r="K140"/>
  <c r="K217"/>
  <c r="E217" s="1"/>
  <c r="K149"/>
  <c r="K200"/>
  <c r="K270"/>
  <c r="E270" s="1"/>
  <c r="K187"/>
  <c r="E187" s="1"/>
  <c r="K251"/>
  <c r="K146"/>
  <c r="E146" s="1"/>
  <c r="K218"/>
  <c r="E218" s="1"/>
  <c r="K144"/>
  <c r="E144" s="1"/>
  <c r="K205"/>
  <c r="K250"/>
  <c r="K266"/>
  <c r="K183"/>
  <c r="K247"/>
  <c r="K273"/>
  <c r="K188"/>
  <c r="K102"/>
  <c r="K175"/>
  <c r="E175" s="1"/>
  <c r="K239"/>
  <c r="K121"/>
  <c r="K156"/>
  <c r="E156" s="1"/>
  <c r="E91" s="1"/>
  <c r="K222"/>
  <c r="E222" s="1"/>
  <c r="K154"/>
  <c r="K209"/>
  <c r="K101"/>
  <c r="K176"/>
  <c r="K240"/>
  <c r="E240" s="1"/>
  <c r="K162"/>
  <c r="E162" s="1"/>
  <c r="K227"/>
  <c r="K129"/>
  <c r="K167"/>
  <c r="K210"/>
  <c r="K280"/>
  <c r="E280" s="1"/>
  <c r="K197"/>
  <c r="E197" s="1"/>
  <c r="K97"/>
  <c r="K119"/>
  <c r="K143"/>
  <c r="K138"/>
  <c r="K204"/>
  <c r="K274"/>
  <c r="K191"/>
  <c r="E191" s="1"/>
  <c r="K105"/>
  <c r="K174"/>
  <c r="K238"/>
  <c r="K160"/>
  <c r="K225"/>
  <c r="K259"/>
  <c r="K277"/>
  <c r="E277" s="1"/>
  <c r="K192"/>
  <c r="K158"/>
  <c r="E158" s="1"/>
  <c r="K179"/>
  <c r="E179" s="1"/>
  <c r="K243"/>
  <c r="K117"/>
  <c r="K161"/>
  <c r="K226"/>
  <c r="E226" s="1"/>
  <c r="K147"/>
  <c r="K213"/>
  <c r="E213" s="1"/>
  <c r="K252"/>
  <c r="E252" s="1"/>
  <c r="K244"/>
  <c r="E244" s="1"/>
  <c r="K231"/>
  <c r="E231" s="1"/>
  <c r="K139"/>
  <c r="E139" s="1"/>
  <c r="K268"/>
  <c r="E268" s="1"/>
  <c r="K249"/>
  <c r="E249" s="1"/>
  <c r="K168"/>
  <c r="K256"/>
  <c r="K186"/>
  <c r="E186" s="1"/>
  <c r="K173"/>
  <c r="E173" s="1"/>
  <c r="K254"/>
  <c r="K267"/>
  <c r="K182"/>
  <c r="K248"/>
  <c r="K169"/>
  <c r="K233"/>
  <c r="K125"/>
  <c r="K153"/>
  <c r="E153" s="1"/>
  <c r="K216"/>
  <c r="K155"/>
  <c r="K203"/>
  <c r="E203" s="1"/>
  <c r="K246"/>
  <c r="K170"/>
  <c r="E170" s="1"/>
  <c r="K234"/>
  <c r="K152"/>
  <c r="E152" s="1"/>
  <c r="K221"/>
  <c r="K257"/>
  <c r="K113"/>
  <c r="K109"/>
  <c r="K253"/>
  <c r="E253" s="1"/>
  <c r="K196"/>
  <c r="E196" s="1"/>
  <c r="K166"/>
  <c r="E166" s="1"/>
  <c r="K262"/>
  <c r="K198"/>
  <c r="E198" s="1"/>
  <c r="K185"/>
  <c r="K115"/>
  <c r="K232"/>
  <c r="K219"/>
  <c r="K271"/>
  <c r="K99"/>
  <c r="K237"/>
  <c r="K212"/>
  <c r="K215"/>
  <c r="E215" s="1"/>
  <c r="K127"/>
  <c r="K214"/>
  <c r="K201"/>
  <c r="K255"/>
  <c r="K269"/>
  <c r="K184"/>
  <c r="E184" s="1"/>
  <c r="K92"/>
  <c r="K171"/>
  <c r="E171" s="1"/>
  <c r="K235"/>
  <c r="K151"/>
  <c r="E151" s="1"/>
  <c r="K202"/>
  <c r="E202" s="1"/>
  <c r="K272"/>
  <c r="K189"/>
  <c r="K95"/>
  <c r="K111"/>
  <c r="K107"/>
  <c r="K106"/>
  <c r="K23"/>
  <c r="K110"/>
  <c r="J51"/>
  <c r="K34" l="1"/>
  <c r="K26"/>
  <c r="K35" s="1"/>
  <c r="I69"/>
  <c r="I71" s="1"/>
  <c r="I78" s="1"/>
  <c r="I70"/>
  <c r="E284"/>
  <c r="A286"/>
  <c r="Z285"/>
  <c r="O285"/>
  <c r="R285"/>
  <c r="U285"/>
  <c r="L285"/>
  <c r="G285"/>
  <c r="S285"/>
  <c r="Q285"/>
  <c r="T285"/>
  <c r="M285"/>
  <c r="H285"/>
  <c r="I285"/>
  <c r="J285"/>
  <c r="E230"/>
  <c r="E227"/>
  <c r="E243"/>
  <c r="E209"/>
  <c r="E164"/>
  <c r="E250"/>
  <c r="E195"/>
  <c r="E154"/>
  <c r="E165"/>
  <c r="E234"/>
  <c r="E200"/>
  <c r="E138"/>
  <c r="E193"/>
  <c r="E238"/>
  <c r="E207"/>
  <c r="E180"/>
  <c r="E225"/>
  <c r="E246"/>
  <c r="E181"/>
  <c r="E221"/>
  <c r="E176"/>
  <c r="E255"/>
  <c r="E239"/>
  <c r="E219"/>
  <c r="E163"/>
  <c r="E210"/>
  <c r="E212"/>
  <c r="E169"/>
  <c r="E216"/>
  <c r="E272"/>
  <c r="B92"/>
  <c r="E188"/>
  <c r="E168"/>
  <c r="E278"/>
  <c r="E159"/>
  <c r="E185"/>
  <c r="E201"/>
  <c r="E214"/>
  <c r="E189"/>
  <c r="J35"/>
  <c r="K51"/>
  <c r="E237"/>
  <c r="E232"/>
  <c r="E257"/>
  <c r="E155"/>
  <c r="E267"/>
  <c r="E161"/>
  <c r="E167"/>
  <c r="E247"/>
  <c r="E251"/>
  <c r="E149"/>
  <c r="E236"/>
  <c r="E228"/>
  <c r="E172"/>
  <c r="E147"/>
  <c r="E148"/>
  <c r="E143"/>
  <c r="E178"/>
  <c r="E271"/>
  <c r="E204"/>
  <c r="E177"/>
  <c r="E260"/>
  <c r="E248"/>
  <c r="E233"/>
  <c r="E242"/>
  <c r="E160"/>
  <c r="E235"/>
  <c r="E182"/>
  <c r="E266"/>
  <c r="E256"/>
  <c r="E194"/>
  <c r="E262"/>
  <c r="E264"/>
  <c r="E274"/>
  <c r="E254"/>
  <c r="E269"/>
  <c r="E192"/>
  <c r="E259"/>
  <c r="E174"/>
  <c r="E183"/>
  <c r="E205"/>
  <c r="E140"/>
  <c r="E206"/>
  <c r="E265"/>
  <c r="E258"/>
  <c r="H77"/>
  <c r="E273"/>
  <c r="E137"/>
  <c r="E279"/>
  <c r="E223"/>
  <c r="E276"/>
  <c r="E150"/>
  <c r="H79" l="1"/>
  <c r="I80"/>
  <c r="I81" s="1"/>
  <c r="E285"/>
  <c r="A287"/>
  <c r="Z286"/>
  <c r="S286"/>
  <c r="R286"/>
  <c r="T286"/>
  <c r="M286"/>
  <c r="H286"/>
  <c r="O286"/>
  <c r="Q286"/>
  <c r="U286"/>
  <c r="L286"/>
  <c r="G286"/>
  <c r="I286"/>
  <c r="J286"/>
  <c r="K286"/>
  <c r="H78"/>
  <c r="H80" s="1"/>
  <c r="F26"/>
  <c r="K61"/>
  <c r="K65"/>
  <c r="K75"/>
  <c r="K76" s="1"/>
  <c r="K77" s="1"/>
  <c r="K79" s="1"/>
  <c r="J65"/>
  <c r="J61"/>
  <c r="J75"/>
  <c r="F35"/>
  <c r="I90" l="1"/>
  <c r="I88"/>
  <c r="I89" s="1"/>
  <c r="J69"/>
  <c r="J71" s="1"/>
  <c r="J70"/>
  <c r="K69"/>
  <c r="K71" s="1"/>
  <c r="K78" s="1"/>
  <c r="K80" s="1"/>
  <c r="K70"/>
  <c r="A288"/>
  <c r="Z287"/>
  <c r="S287"/>
  <c r="R287"/>
  <c r="T287"/>
  <c r="L287"/>
  <c r="H287"/>
  <c r="O287"/>
  <c r="Q287"/>
  <c r="U287"/>
  <c r="M287"/>
  <c r="G287"/>
  <c r="I287"/>
  <c r="J287"/>
  <c r="K287"/>
  <c r="E286"/>
  <c r="E61"/>
  <c r="E63" s="1"/>
  <c r="J76"/>
  <c r="F75"/>
  <c r="H81"/>
  <c r="A289" l="1"/>
  <c r="Z288"/>
  <c r="S288"/>
  <c r="R288"/>
  <c r="T288"/>
  <c r="L288"/>
  <c r="H288"/>
  <c r="O288"/>
  <c r="Q288"/>
  <c r="U288"/>
  <c r="M288"/>
  <c r="G288"/>
  <c r="I288"/>
  <c r="J288"/>
  <c r="K288"/>
  <c r="E287"/>
  <c r="F71"/>
  <c r="H88"/>
  <c r="H89" s="1"/>
  <c r="H90"/>
  <c r="J77"/>
  <c r="F76"/>
  <c r="K81"/>
  <c r="J79" l="1"/>
  <c r="A290"/>
  <c r="Z289"/>
  <c r="I289"/>
  <c r="S289"/>
  <c r="Q289"/>
  <c r="T289"/>
  <c r="L289"/>
  <c r="G289"/>
  <c r="O289"/>
  <c r="R289"/>
  <c r="U289"/>
  <c r="M289"/>
  <c r="H289"/>
  <c r="J289"/>
  <c r="K289"/>
  <c r="E288"/>
  <c r="K90"/>
  <c r="K88"/>
  <c r="K89" s="1"/>
  <c r="J78"/>
  <c r="J80" s="1"/>
  <c r="E77"/>
  <c r="F79" s="1"/>
  <c r="F74" l="1"/>
  <c r="F73"/>
  <c r="A291"/>
  <c r="Z290"/>
  <c r="J290"/>
  <c r="O290"/>
  <c r="Q290"/>
  <c r="U290"/>
  <c r="M290"/>
  <c r="G290"/>
  <c r="I290"/>
  <c r="S290"/>
  <c r="R290"/>
  <c r="T290"/>
  <c r="L290"/>
  <c r="H290"/>
  <c r="K290"/>
  <c r="E289"/>
  <c r="F85"/>
  <c r="F86"/>
  <c r="F84"/>
  <c r="F87"/>
  <c r="F78"/>
  <c r="E78"/>
  <c r="F82"/>
  <c r="F83"/>
  <c r="A292" l="1"/>
  <c r="Z291"/>
  <c r="K291"/>
  <c r="S291"/>
  <c r="R291"/>
  <c r="T291"/>
  <c r="L291"/>
  <c r="H291"/>
  <c r="J291"/>
  <c r="O291"/>
  <c r="Q291"/>
  <c r="U291"/>
  <c r="M291"/>
  <c r="G291"/>
  <c r="I291"/>
  <c r="E290"/>
  <c r="J81"/>
  <c r="F81" s="1"/>
  <c r="E291" l="1"/>
  <c r="A293"/>
  <c r="Z292"/>
  <c r="L292"/>
  <c r="O292"/>
  <c r="Q292"/>
  <c r="U292"/>
  <c r="M292"/>
  <c r="G292"/>
  <c r="I292"/>
  <c r="K292"/>
  <c r="S292"/>
  <c r="R292"/>
  <c r="T292"/>
  <c r="H292"/>
  <c r="J292"/>
  <c r="J88"/>
  <c r="J89" s="1"/>
  <c r="F89" s="1"/>
  <c r="J90"/>
  <c r="F90" s="1"/>
  <c r="A294" l="1"/>
  <c r="Z293"/>
  <c r="S293"/>
  <c r="Q293"/>
  <c r="T293"/>
  <c r="L293"/>
  <c r="H293"/>
  <c r="O293"/>
  <c r="R293"/>
  <c r="U293"/>
  <c r="M293"/>
  <c r="G293"/>
  <c r="I293"/>
  <c r="K293"/>
  <c r="J293"/>
  <c r="E292"/>
  <c r="E131"/>
  <c r="A295" l="1"/>
  <c r="Z294"/>
  <c r="S294"/>
  <c r="R294"/>
  <c r="T294"/>
  <c r="L294"/>
  <c r="H294"/>
  <c r="J294"/>
  <c r="O294"/>
  <c r="Q294"/>
  <c r="U294"/>
  <c r="M294"/>
  <c r="G294"/>
  <c r="I294"/>
  <c r="K294"/>
  <c r="E293"/>
  <c r="O131"/>
  <c r="Q131"/>
  <c r="S131"/>
  <c r="R131"/>
  <c r="U131"/>
  <c r="T131"/>
  <c r="M131"/>
  <c r="J131"/>
  <c r="G131"/>
  <c r="K131"/>
  <c r="H131"/>
  <c r="I131"/>
  <c r="L131"/>
  <c r="A296" l="1"/>
  <c r="Z295"/>
  <c r="O295"/>
  <c r="Q295"/>
  <c r="M295"/>
  <c r="G295"/>
  <c r="K295"/>
  <c r="S295"/>
  <c r="R295"/>
  <c r="T295"/>
  <c r="L295"/>
  <c r="H295"/>
  <c r="J295"/>
  <c r="U295"/>
  <c r="I295"/>
  <c r="E294"/>
  <c r="E132"/>
  <c r="A297" l="1"/>
  <c r="Z296"/>
  <c r="O296"/>
  <c r="Q296"/>
  <c r="U296"/>
  <c r="M296"/>
  <c r="G296"/>
  <c r="I296"/>
  <c r="K296"/>
  <c r="S296"/>
  <c r="R296"/>
  <c r="T296"/>
  <c r="L296"/>
  <c r="H296"/>
  <c r="J296"/>
  <c r="E295"/>
  <c r="O132"/>
  <c r="Q132"/>
  <c r="S132"/>
  <c r="R132"/>
  <c r="U132"/>
  <c r="T132"/>
  <c r="G132"/>
  <c r="I132"/>
  <c r="K132"/>
  <c r="M132"/>
  <c r="J132"/>
  <c r="H132"/>
  <c r="L132"/>
  <c r="E133"/>
  <c r="A298" l="1"/>
  <c r="Z297"/>
  <c r="S297"/>
  <c r="O297"/>
  <c r="Q297"/>
  <c r="R297"/>
  <c r="U297"/>
  <c r="T297"/>
  <c r="M297"/>
  <c r="L297"/>
  <c r="G297"/>
  <c r="H297"/>
  <c r="I297"/>
  <c r="J297"/>
  <c r="K297"/>
  <c r="E296"/>
  <c r="L133"/>
  <c r="O133"/>
  <c r="Q133"/>
  <c r="S133"/>
  <c r="R133"/>
  <c r="U133"/>
  <c r="T133"/>
  <c r="H133"/>
  <c r="I133"/>
  <c r="G133"/>
  <c r="M133"/>
  <c r="J133"/>
  <c r="K133"/>
  <c r="A299" l="1"/>
  <c r="Z298"/>
  <c r="S298"/>
  <c r="O298"/>
  <c r="Q298"/>
  <c r="R298"/>
  <c r="U298"/>
  <c r="T298"/>
  <c r="M298"/>
  <c r="L298"/>
  <c r="G298"/>
  <c r="H298"/>
  <c r="I298"/>
  <c r="J298"/>
  <c r="K298"/>
  <c r="E297"/>
  <c r="E134"/>
  <c r="A300" l="1"/>
  <c r="Z299"/>
  <c r="S299"/>
  <c r="O299"/>
  <c r="Q299"/>
  <c r="R299"/>
  <c r="U299"/>
  <c r="T299"/>
  <c r="M299"/>
  <c r="L299"/>
  <c r="G299"/>
  <c r="H299"/>
  <c r="I299"/>
  <c r="J299"/>
  <c r="K299"/>
  <c r="E298"/>
  <c r="O134"/>
  <c r="Q134"/>
  <c r="S134"/>
  <c r="R134"/>
  <c r="U134"/>
  <c r="T134"/>
  <c r="I134"/>
  <c r="J134"/>
  <c r="H134"/>
  <c r="G134"/>
  <c r="K134"/>
  <c r="M134"/>
  <c r="L134"/>
  <c r="V27"/>
  <c r="V51"/>
  <c r="V34"/>
  <c r="V77" s="1"/>
  <c r="V130"/>
  <c r="A301" l="1"/>
  <c r="Z300"/>
  <c r="S300"/>
  <c r="O300"/>
  <c r="Q300"/>
  <c r="R300"/>
  <c r="U300"/>
  <c r="T300"/>
  <c r="M300"/>
  <c r="L300"/>
  <c r="G300"/>
  <c r="H300"/>
  <c r="I300"/>
  <c r="J300"/>
  <c r="K300"/>
  <c r="E299"/>
  <c r="V114"/>
  <c r="V132"/>
  <c r="V126"/>
  <c r="V134"/>
  <c r="V110"/>
  <c r="V102"/>
  <c r="V136"/>
  <c r="V129"/>
  <c r="V115"/>
  <c r="V95"/>
  <c r="V99"/>
  <c r="V107"/>
  <c r="V113"/>
  <c r="V97"/>
  <c r="V142"/>
  <c r="V125"/>
  <c r="V137"/>
  <c r="V101"/>
  <c r="V117"/>
  <c r="V121"/>
  <c r="V127"/>
  <c r="V149"/>
  <c r="V119"/>
  <c r="V141"/>
  <c r="V105"/>
  <c r="V92"/>
  <c r="V109"/>
  <c r="V103"/>
  <c r="V111"/>
  <c r="V289"/>
  <c r="V144"/>
  <c r="V145"/>
  <c r="V158"/>
  <c r="V179"/>
  <c r="V201"/>
  <c r="V282"/>
  <c r="V219"/>
  <c r="V203"/>
  <c r="V204"/>
  <c r="V167"/>
  <c r="V209"/>
  <c r="V280"/>
  <c r="V235"/>
  <c r="V184"/>
  <c r="V175"/>
  <c r="V151"/>
  <c r="V185"/>
  <c r="V221"/>
  <c r="V231"/>
  <c r="V156"/>
  <c r="V237"/>
  <c r="V291"/>
  <c r="V273"/>
  <c r="V155"/>
  <c r="V270"/>
  <c r="V284"/>
  <c r="V166"/>
  <c r="V247"/>
  <c r="V239"/>
  <c r="V241"/>
  <c r="V272"/>
  <c r="V254"/>
  <c r="V243"/>
  <c r="V198"/>
  <c r="V178"/>
  <c r="V249"/>
  <c r="V292"/>
  <c r="V299"/>
  <c r="V139"/>
  <c r="V217"/>
  <c r="V261"/>
  <c r="V253"/>
  <c r="V225"/>
  <c r="V192"/>
  <c r="V220"/>
  <c r="V216"/>
  <c r="V276"/>
  <c r="V259"/>
  <c r="V160"/>
  <c r="V264"/>
  <c r="V245"/>
  <c r="V191"/>
  <c r="V205"/>
  <c r="V182"/>
  <c r="V218"/>
  <c r="V197"/>
  <c r="V171"/>
  <c r="V174"/>
  <c r="V255"/>
  <c r="V195"/>
  <c r="V274"/>
  <c r="V210"/>
  <c r="V228"/>
  <c r="V165"/>
  <c r="V242"/>
  <c r="V263"/>
  <c r="V196"/>
  <c r="V298"/>
  <c r="V173"/>
  <c r="V227"/>
  <c r="V223"/>
  <c r="V226"/>
  <c r="V131"/>
  <c r="V277"/>
  <c r="V232"/>
  <c r="V138"/>
  <c r="V159"/>
  <c r="V146"/>
  <c r="V147"/>
  <c r="V297"/>
  <c r="V214"/>
  <c r="V258"/>
  <c r="V162"/>
  <c r="V181"/>
  <c r="V295"/>
  <c r="V168"/>
  <c r="V148"/>
  <c r="V154"/>
  <c r="V188"/>
  <c r="V211"/>
  <c r="V161"/>
  <c r="V269"/>
  <c r="V233"/>
  <c r="V213"/>
  <c r="V170"/>
  <c r="V187"/>
  <c r="V153"/>
  <c r="V199"/>
  <c r="V164"/>
  <c r="V212"/>
  <c r="V260"/>
  <c r="V281"/>
  <c r="V180"/>
  <c r="V248"/>
  <c r="V286"/>
  <c r="V262"/>
  <c r="V143"/>
  <c r="V194"/>
  <c r="V186"/>
  <c r="V300"/>
  <c r="V266"/>
  <c r="V275"/>
  <c r="V267"/>
  <c r="V157"/>
  <c r="V278"/>
  <c r="V250"/>
  <c r="V240"/>
  <c r="V265"/>
  <c r="V294"/>
  <c r="V224"/>
  <c r="V252"/>
  <c r="V190"/>
  <c r="V279"/>
  <c r="V183"/>
  <c r="V290"/>
  <c r="V140"/>
  <c r="V222"/>
  <c r="V208"/>
  <c r="V229"/>
  <c r="V287"/>
  <c r="V176"/>
  <c r="V251"/>
  <c r="V189"/>
  <c r="V244"/>
  <c r="V238"/>
  <c r="V288"/>
  <c r="V163"/>
  <c r="V200"/>
  <c r="V215"/>
  <c r="V207"/>
  <c r="V172"/>
  <c r="V152"/>
  <c r="V177"/>
  <c r="V268"/>
  <c r="V271"/>
  <c r="V169"/>
  <c r="V283"/>
  <c r="V202"/>
  <c r="V296"/>
  <c r="V236"/>
  <c r="V301"/>
  <c r="V256"/>
  <c r="V206"/>
  <c r="V257"/>
  <c r="V293"/>
  <c r="V234"/>
  <c r="V246"/>
  <c r="V285"/>
  <c r="V193"/>
  <c r="V230"/>
  <c r="V94"/>
  <c r="V118"/>
  <c r="V106"/>
  <c r="V98"/>
  <c r="V150"/>
  <c r="V133"/>
  <c r="X51"/>
  <c r="X34"/>
  <c r="A302" l="1"/>
  <c r="Z301"/>
  <c r="S301"/>
  <c r="O301"/>
  <c r="Q301"/>
  <c r="R301"/>
  <c r="U301"/>
  <c r="T301"/>
  <c r="M301"/>
  <c r="L301"/>
  <c r="G301"/>
  <c r="H301"/>
  <c r="I301"/>
  <c r="J301"/>
  <c r="K301"/>
  <c r="E300"/>
  <c r="X77"/>
  <c r="W51"/>
  <c r="W34"/>
  <c r="W77" s="1"/>
  <c r="W26"/>
  <c r="W27"/>
  <c r="A303" l="1"/>
  <c r="Z302"/>
  <c r="S302"/>
  <c r="O302"/>
  <c r="Q302"/>
  <c r="R302"/>
  <c r="U302"/>
  <c r="T302"/>
  <c r="M302"/>
  <c r="L302"/>
  <c r="G302"/>
  <c r="H302"/>
  <c r="I302"/>
  <c r="J302"/>
  <c r="K302"/>
  <c r="V302"/>
  <c r="E301"/>
  <c r="W231"/>
  <c r="A304" l="1"/>
  <c r="Z303"/>
  <c r="Q303"/>
  <c r="R303"/>
  <c r="S303"/>
  <c r="O303"/>
  <c r="U303"/>
  <c r="T303"/>
  <c r="M303"/>
  <c r="L303"/>
  <c r="G303"/>
  <c r="H303"/>
  <c r="I303"/>
  <c r="J303"/>
  <c r="K303"/>
  <c r="V303"/>
  <c r="E302"/>
  <c r="W138"/>
  <c r="W289"/>
  <c r="W187"/>
  <c r="W175"/>
  <c r="W299"/>
  <c r="W218"/>
  <c r="W155"/>
  <c r="W179"/>
  <c r="W212"/>
  <c r="W184"/>
  <c r="W251"/>
  <c r="W280"/>
  <c r="W269"/>
  <c r="W208"/>
  <c r="W118"/>
  <c r="W242"/>
  <c r="W255"/>
  <c r="W197"/>
  <c r="W220"/>
  <c r="W181"/>
  <c r="W117"/>
  <c r="W109"/>
  <c r="W101"/>
  <c r="W115"/>
  <c r="W230"/>
  <c r="W234"/>
  <c r="W137"/>
  <c r="W113"/>
  <c r="W236"/>
  <c r="W159"/>
  <c r="W161"/>
  <c r="W174"/>
  <c r="W213"/>
  <c r="W203"/>
  <c r="W176"/>
  <c r="W263"/>
  <c r="W227"/>
  <c r="W186"/>
  <c r="W182"/>
  <c r="W282"/>
  <c r="W270"/>
  <c r="W102"/>
  <c r="W169"/>
  <c r="W258"/>
  <c r="W259"/>
  <c r="W209"/>
  <c r="W191"/>
  <c r="W215"/>
  <c r="W214"/>
  <c r="W279"/>
  <c r="W265"/>
  <c r="W192"/>
  <c r="W188"/>
  <c r="W92"/>
  <c r="W125"/>
  <c r="W149"/>
  <c r="W136"/>
  <c r="W278"/>
  <c r="W111"/>
  <c r="W107"/>
  <c r="W127"/>
  <c r="W140"/>
  <c r="W226"/>
  <c r="W240"/>
  <c r="W199"/>
  <c r="W194"/>
  <c r="W189"/>
  <c r="W148"/>
  <c r="W202"/>
  <c r="W274"/>
  <c r="W261"/>
  <c r="W275"/>
  <c r="W253"/>
  <c r="W143"/>
  <c r="W229"/>
  <c r="W281"/>
  <c r="W200"/>
  <c r="W304"/>
  <c r="W237"/>
  <c r="W223"/>
  <c r="W201"/>
  <c r="W190"/>
  <c r="W254"/>
  <c r="W303"/>
  <c r="W295"/>
  <c r="W216"/>
  <c r="W183"/>
  <c r="W225"/>
  <c r="W150"/>
  <c r="W110"/>
  <c r="W126"/>
  <c r="W241"/>
  <c r="W291"/>
  <c r="W273"/>
  <c r="W276"/>
  <c r="W247"/>
  <c r="W243"/>
  <c r="W178"/>
  <c r="W173"/>
  <c r="W294"/>
  <c r="W172"/>
  <c r="W146"/>
  <c r="W152"/>
  <c r="W168"/>
  <c r="W233"/>
  <c r="W287"/>
  <c r="W171"/>
  <c r="W250"/>
  <c r="W257"/>
  <c r="W165"/>
  <c r="W156"/>
  <c r="W268"/>
  <c r="W142"/>
  <c r="W121"/>
  <c r="W99"/>
  <c r="W166"/>
  <c r="W141"/>
  <c r="W119"/>
  <c r="W129"/>
  <c r="W196"/>
  <c r="W211"/>
  <c r="W256"/>
  <c r="W95"/>
  <c r="W105"/>
  <c r="W103"/>
  <c r="W97"/>
  <c r="X26"/>
  <c r="W271"/>
  <c r="W145"/>
  <c r="W158"/>
  <c r="W285"/>
  <c r="W267"/>
  <c r="W239"/>
  <c r="W221"/>
  <c r="W167"/>
  <c r="W207"/>
  <c r="W144"/>
  <c r="W296"/>
  <c r="W193"/>
  <c r="W153"/>
  <c r="W154"/>
  <c r="W293"/>
  <c r="W249"/>
  <c r="W139"/>
  <c r="W238"/>
  <c r="W248"/>
  <c r="W224"/>
  <c r="W286"/>
  <c r="W164"/>
  <c r="W232"/>
  <c r="W266"/>
  <c r="W290"/>
  <c r="W301"/>
  <c r="W302"/>
  <c r="W264"/>
  <c r="W272"/>
  <c r="W288"/>
  <c r="W163"/>
  <c r="W228"/>
  <c r="W222"/>
  <c r="W219"/>
  <c r="W198"/>
  <c r="W147"/>
  <c r="W162"/>
  <c r="W217"/>
  <c r="W292"/>
  <c r="W235"/>
  <c r="W244"/>
  <c r="W106"/>
  <c r="W205"/>
  <c r="W206"/>
  <c r="W185"/>
  <c r="W298"/>
  <c r="W245"/>
  <c r="W297"/>
  <c r="W277"/>
  <c r="W170"/>
  <c r="W210"/>
  <c r="W262"/>
  <c r="W180"/>
  <c r="W252"/>
  <c r="W160"/>
  <c r="W157"/>
  <c r="W133"/>
  <c r="W132"/>
  <c r="W246"/>
  <c r="W195"/>
  <c r="W260"/>
  <c r="W204"/>
  <c r="W284"/>
  <c r="W300"/>
  <c r="W283"/>
  <c r="W177"/>
  <c r="W151"/>
  <c r="W131"/>
  <c r="W130"/>
  <c r="W98"/>
  <c r="W94"/>
  <c r="W114"/>
  <c r="W134"/>
  <c r="A305" l="1"/>
  <c r="Z304"/>
  <c r="R304"/>
  <c r="S304"/>
  <c r="Q304"/>
  <c r="O304"/>
  <c r="U304"/>
  <c r="T304"/>
  <c r="M304"/>
  <c r="L304"/>
  <c r="G304"/>
  <c r="H304"/>
  <c r="I304"/>
  <c r="J304"/>
  <c r="K304"/>
  <c r="V304"/>
  <c r="E303"/>
  <c r="X27"/>
  <c r="X202"/>
  <c r="X138"/>
  <c r="X155"/>
  <c r="X293"/>
  <c r="X221"/>
  <c r="X271"/>
  <c r="X114"/>
  <c r="X245"/>
  <c r="X239"/>
  <c r="X234"/>
  <c r="X227"/>
  <c r="X224"/>
  <c r="X162"/>
  <c r="X161"/>
  <c r="X213"/>
  <c r="X238"/>
  <c r="X153"/>
  <c r="X205"/>
  <c r="X181"/>
  <c r="X266"/>
  <c r="X103"/>
  <c r="X184"/>
  <c r="X174"/>
  <c r="X183"/>
  <c r="X209"/>
  <c r="X99"/>
  <c r="X282"/>
  <c r="X194"/>
  <c r="X164"/>
  <c r="X199"/>
  <c r="X218"/>
  <c r="X156"/>
  <c r="X167"/>
  <c r="X189"/>
  <c r="X237"/>
  <c r="X231"/>
  <c r="X223"/>
  <c r="X148"/>
  <c r="X297"/>
  <c r="X249"/>
  <c r="X210"/>
  <c r="X298"/>
  <c r="X252"/>
  <c r="X177"/>
  <c r="X255"/>
  <c r="X261"/>
  <c r="X197"/>
  <c r="X292"/>
  <c r="X154"/>
  <c r="X216"/>
  <c r="X140"/>
  <c r="X279"/>
  <c r="X180"/>
  <c r="X263"/>
  <c r="X233"/>
  <c r="X276"/>
  <c r="X258"/>
  <c r="X265"/>
  <c r="X97"/>
  <c r="X296"/>
  <c r="X246"/>
  <c r="X228"/>
  <c r="X159"/>
  <c r="X305"/>
  <c r="X236"/>
  <c r="X268"/>
  <c r="X98"/>
  <c r="X260"/>
  <c r="X185"/>
  <c r="X244"/>
  <c r="X284"/>
  <c r="X188"/>
  <c r="X151"/>
  <c r="X178"/>
  <c r="X242"/>
  <c r="X193"/>
  <c r="X286"/>
  <c r="X264"/>
  <c r="X173"/>
  <c r="X273"/>
  <c r="X288"/>
  <c r="X165"/>
  <c r="X121"/>
  <c r="X304"/>
  <c r="X289"/>
  <c r="X109"/>
  <c r="X290"/>
  <c r="X206"/>
  <c r="X105"/>
  <c r="X262"/>
  <c r="X195"/>
  <c r="X139"/>
  <c r="X302"/>
  <c r="X222"/>
  <c r="X142"/>
  <c r="X281"/>
  <c r="X295"/>
  <c r="X226"/>
  <c r="X201"/>
  <c r="X303"/>
  <c r="X190"/>
  <c r="X204"/>
  <c r="X143"/>
  <c r="X113"/>
  <c r="X179"/>
  <c r="X285"/>
  <c r="X126"/>
  <c r="X203"/>
  <c r="X132"/>
  <c r="X257"/>
  <c r="X280"/>
  <c r="X150"/>
  <c r="X267"/>
  <c r="X270"/>
  <c r="X220"/>
  <c r="X92"/>
  <c r="X198"/>
  <c r="X119"/>
  <c r="X217"/>
  <c r="X272"/>
  <c r="X241"/>
  <c r="X125"/>
  <c r="X214"/>
  <c r="X127"/>
  <c r="X158"/>
  <c r="X294"/>
  <c r="X243"/>
  <c r="X101"/>
  <c r="X157"/>
  <c r="X299"/>
  <c r="X110"/>
  <c r="X269"/>
  <c r="X248"/>
  <c r="X230"/>
  <c r="X131"/>
  <c r="X200"/>
  <c r="X176"/>
  <c r="X134"/>
  <c r="X95"/>
  <c r="X207"/>
  <c r="X166"/>
  <c r="X192"/>
  <c r="X169"/>
  <c r="X149"/>
  <c r="X211"/>
  <c r="X168"/>
  <c r="X251"/>
  <c r="X136"/>
  <c r="X107"/>
  <c r="X130"/>
  <c r="X145"/>
  <c r="X240"/>
  <c r="X171"/>
  <c r="X275"/>
  <c r="X278"/>
  <c r="X160"/>
  <c r="X146"/>
  <c r="X115"/>
  <c r="X291"/>
  <c r="X102"/>
  <c r="X137"/>
  <c r="X187"/>
  <c r="X254"/>
  <c r="X182"/>
  <c r="X118"/>
  <c r="X259"/>
  <c r="X129"/>
  <c r="X283"/>
  <c r="X219"/>
  <c r="X111"/>
  <c r="X117"/>
  <c r="X250"/>
  <c r="X141"/>
  <c r="X301"/>
  <c r="X247"/>
  <c r="X287"/>
  <c r="X94"/>
  <c r="X232"/>
  <c r="X215"/>
  <c r="X208"/>
  <c r="X256"/>
  <c r="X152"/>
  <c r="X175"/>
  <c r="X253"/>
  <c r="X144"/>
  <c r="X147"/>
  <c r="X186"/>
  <c r="X170"/>
  <c r="X191"/>
  <c r="X196"/>
  <c r="X106"/>
  <c r="X225"/>
  <c r="X229"/>
  <c r="X172"/>
  <c r="X300"/>
  <c r="X277"/>
  <c r="X133"/>
  <c r="X235"/>
  <c r="X274"/>
  <c r="X212"/>
  <c r="X163"/>
  <c r="A306" l="1"/>
  <c r="Z305"/>
  <c r="S305"/>
  <c r="Q305"/>
  <c r="O305"/>
  <c r="R305"/>
  <c r="U305"/>
  <c r="T305"/>
  <c r="M305"/>
  <c r="L305"/>
  <c r="G305"/>
  <c r="H305"/>
  <c r="I305"/>
  <c r="J305"/>
  <c r="K305"/>
  <c r="V305"/>
  <c r="W305"/>
  <c r="E304"/>
  <c r="Z306" l="1"/>
  <c r="O306"/>
  <c r="Q306"/>
  <c r="U306"/>
  <c r="T306"/>
  <c r="S306"/>
  <c r="R306"/>
  <c r="M306"/>
  <c r="L306"/>
  <c r="G306"/>
  <c r="H306"/>
  <c r="I306"/>
  <c r="J306"/>
  <c r="K306"/>
  <c r="V306"/>
  <c r="W306"/>
  <c r="X306"/>
  <c r="E305"/>
  <c r="E306" l="1"/>
  <c r="N51" l="1"/>
  <c r="F51" s="1"/>
  <c r="N34"/>
  <c r="N77" s="1"/>
  <c r="F77" l="1"/>
  <c r="N27"/>
  <c r="N92"/>
  <c r="N119"/>
  <c r="N248"/>
  <c r="N272"/>
  <c r="N279"/>
  <c r="N219"/>
  <c r="N164"/>
  <c r="N256"/>
  <c r="N206"/>
  <c r="N199"/>
  <c r="N270"/>
  <c r="N146"/>
  <c r="N176"/>
  <c r="N143"/>
  <c r="N155"/>
  <c r="N269"/>
  <c r="N296"/>
  <c r="N191"/>
  <c r="N305"/>
  <c r="N179"/>
  <c r="N157"/>
  <c r="N139"/>
  <c r="N216"/>
  <c r="N281"/>
  <c r="N218"/>
  <c r="N172"/>
  <c r="N181"/>
  <c r="N136"/>
  <c r="N117"/>
  <c r="N99"/>
  <c r="N142"/>
  <c r="N127"/>
  <c r="N121"/>
  <c r="N115"/>
  <c r="N95"/>
  <c r="N105"/>
  <c r="N208"/>
  <c r="N210"/>
  <c r="N158"/>
  <c r="N212"/>
  <c r="N207"/>
  <c r="N183"/>
  <c r="N251"/>
  <c r="N301"/>
  <c r="N180"/>
  <c r="N274"/>
  <c r="N159"/>
  <c r="N287"/>
  <c r="N230"/>
  <c r="N194"/>
  <c r="N293"/>
  <c r="N198"/>
  <c r="N187"/>
  <c r="N150"/>
  <c r="N288"/>
  <c r="N284"/>
  <c r="N254"/>
  <c r="N294"/>
  <c r="N234"/>
  <c r="N215"/>
  <c r="N148"/>
  <c r="N190"/>
  <c r="N147"/>
  <c r="N197"/>
  <c r="N140"/>
  <c r="N188"/>
  <c r="N196"/>
  <c r="N162"/>
  <c r="N223"/>
  <c r="N255"/>
  <c r="N291"/>
  <c r="N260"/>
  <c r="N202"/>
  <c r="N154"/>
  <c r="N222"/>
  <c r="N298"/>
  <c r="N205"/>
  <c r="N246"/>
  <c r="N189"/>
  <c r="N221"/>
  <c r="N182"/>
  <c r="N173"/>
  <c r="N201"/>
  <c r="N168"/>
  <c r="N145"/>
  <c r="N283"/>
  <c r="N103"/>
  <c r="N137"/>
  <c r="N231"/>
  <c r="N292"/>
  <c r="N299"/>
  <c r="N247"/>
  <c r="N193"/>
  <c r="N226"/>
  <c r="N220"/>
  <c r="N185"/>
  <c r="N125"/>
  <c r="N257"/>
  <c r="N184"/>
  <c r="N186"/>
  <c r="N273"/>
  <c r="N242"/>
  <c r="N265"/>
  <c r="N167"/>
  <c r="N237"/>
  <c r="N141"/>
  <c r="N229"/>
  <c r="N228"/>
  <c r="N171"/>
  <c r="N195"/>
  <c r="N153"/>
  <c r="N275"/>
  <c r="N253"/>
  <c r="N213"/>
  <c r="N259"/>
  <c r="N235"/>
  <c r="N285"/>
  <c r="N268"/>
  <c r="N163"/>
  <c r="N240"/>
  <c r="N217"/>
  <c r="N263"/>
  <c r="N211"/>
  <c r="N282"/>
  <c r="N252"/>
  <c r="N243"/>
  <c r="N295"/>
  <c r="N278"/>
  <c r="N238"/>
  <c r="N303"/>
  <c r="N286"/>
  <c r="N261"/>
  <c r="N232"/>
  <c r="N170"/>
  <c r="N297"/>
  <c r="N192"/>
  <c r="N144"/>
  <c r="N178"/>
  <c r="N300"/>
  <c r="N239"/>
  <c r="N276"/>
  <c r="N290"/>
  <c r="N177"/>
  <c r="N264"/>
  <c r="N233"/>
  <c r="N165"/>
  <c r="N161"/>
  <c r="F34"/>
  <c r="N133"/>
  <c r="N114"/>
  <c r="N134"/>
  <c r="E122"/>
  <c r="N118"/>
  <c r="N110"/>
  <c r="N98"/>
  <c r="N106"/>
  <c r="N130"/>
  <c r="N166"/>
  <c r="N266"/>
  <c r="N267"/>
  <c r="N258"/>
  <c r="N262"/>
  <c r="N109"/>
  <c r="N107"/>
  <c r="N97"/>
  <c r="N111"/>
  <c r="N289"/>
  <c r="N113"/>
  <c r="N101"/>
  <c r="N224"/>
  <c r="N160"/>
  <c r="N306"/>
  <c r="N174"/>
  <c r="N132"/>
  <c r="N126"/>
  <c r="N94"/>
  <c r="N102"/>
  <c r="N131"/>
  <c r="N151"/>
  <c r="N277"/>
  <c r="N204"/>
  <c r="N245"/>
  <c r="N169"/>
  <c r="N280"/>
  <c r="N249"/>
  <c r="N225"/>
  <c r="N304"/>
  <c r="N244"/>
  <c r="N152"/>
  <c r="N250"/>
  <c r="N175"/>
  <c r="N214"/>
  <c r="N302"/>
  <c r="N149"/>
  <c r="N156"/>
  <c r="N236"/>
  <c r="N203"/>
  <c r="N241"/>
  <c r="N271"/>
  <c r="N138"/>
  <c r="N227"/>
  <c r="N209"/>
  <c r="N200"/>
  <c r="N129"/>
  <c r="N26" l="1"/>
  <c r="R122"/>
  <c r="H122"/>
  <c r="V122"/>
  <c r="T122"/>
  <c r="U122"/>
  <c r="I122"/>
  <c r="W122"/>
  <c r="Q122"/>
  <c r="O122"/>
  <c r="M122"/>
  <c r="J122"/>
  <c r="X122"/>
  <c r="N122"/>
  <c r="S122"/>
  <c r="G122"/>
  <c r="K122"/>
  <c r="E123"/>
  <c r="L122"/>
  <c r="N123" l="1"/>
  <c r="S123"/>
  <c r="G123"/>
  <c r="K123"/>
  <c r="R123"/>
  <c r="H123"/>
  <c r="V123"/>
  <c r="L123"/>
  <c r="T123"/>
  <c r="U123"/>
  <c r="I123"/>
  <c r="W123"/>
  <c r="Q123"/>
  <c r="O123"/>
  <c r="M123"/>
  <c r="J123"/>
  <c r="X123"/>
  <c r="P117"/>
  <c r="D117" s="1"/>
  <c r="C117" s="1"/>
  <c r="P233"/>
  <c r="D233" s="1"/>
  <c r="AB233" s="1"/>
  <c r="P276"/>
  <c r="D276" s="1"/>
  <c r="P144"/>
  <c r="D144" s="1"/>
  <c r="P232"/>
  <c r="D232" s="1"/>
  <c r="P238"/>
  <c r="D238" s="1"/>
  <c r="P252"/>
  <c r="D252" s="1"/>
  <c r="P217"/>
  <c r="D217" s="1"/>
  <c r="P285"/>
  <c r="D285" s="1"/>
  <c r="P253"/>
  <c r="D253" s="1"/>
  <c r="P193"/>
  <c r="D193" s="1"/>
  <c r="P231"/>
  <c r="D231" s="1"/>
  <c r="P140"/>
  <c r="D140" s="1"/>
  <c r="P148"/>
  <c r="D148" s="1"/>
  <c r="P254"/>
  <c r="D254" s="1"/>
  <c r="P187"/>
  <c r="D187" s="1"/>
  <c r="P230"/>
  <c r="D230" s="1"/>
  <c r="P207"/>
  <c r="D207" s="1"/>
  <c r="P179"/>
  <c r="D179" s="1"/>
  <c r="P269"/>
  <c r="D269" s="1"/>
  <c r="P146"/>
  <c r="D146" s="1"/>
  <c r="P256"/>
  <c r="D256" s="1"/>
  <c r="P272"/>
  <c r="D272" s="1"/>
  <c r="P214"/>
  <c r="D214" s="1"/>
  <c r="P244"/>
  <c r="D244" s="1"/>
  <c r="P280"/>
  <c r="D280" s="1"/>
  <c r="P277"/>
  <c r="D277" s="1"/>
  <c r="P103"/>
  <c r="F103" s="1"/>
  <c r="D103" s="1"/>
  <c r="C103" s="1"/>
  <c r="P201"/>
  <c r="D201" s="1"/>
  <c r="P189"/>
  <c r="D189" s="1"/>
  <c r="P222"/>
  <c r="D222" s="1"/>
  <c r="F222" s="1"/>
  <c r="B222" s="1"/>
  <c r="P291"/>
  <c r="D291" s="1"/>
  <c r="P196"/>
  <c r="D196" s="1"/>
  <c r="F196" s="1"/>
  <c r="B196" s="1"/>
  <c r="P147"/>
  <c r="D147" s="1"/>
  <c r="F147" s="1"/>
  <c r="B147" s="1"/>
  <c r="P234"/>
  <c r="D234" s="1"/>
  <c r="AB234" s="1"/>
  <c r="P288"/>
  <c r="D288" s="1"/>
  <c r="AB288" s="1"/>
  <c r="P293"/>
  <c r="D293" s="1"/>
  <c r="P159"/>
  <c r="D159" s="1"/>
  <c r="P251"/>
  <c r="D251" s="1"/>
  <c r="P127"/>
  <c r="D127" s="1"/>
  <c r="C127" s="1"/>
  <c r="P227"/>
  <c r="D227" s="1"/>
  <c r="P203"/>
  <c r="D203" s="1"/>
  <c r="P152"/>
  <c r="D152" s="1"/>
  <c r="P249"/>
  <c r="D249" s="1"/>
  <c r="P204"/>
  <c r="D204" s="1"/>
  <c r="P174"/>
  <c r="D174" s="1"/>
  <c r="P137"/>
  <c r="D137" s="1"/>
  <c r="F137" s="1"/>
  <c r="P121"/>
  <c r="D121" s="1"/>
  <c r="C121" s="1"/>
  <c r="P171"/>
  <c r="D171" s="1"/>
  <c r="P237"/>
  <c r="D237" s="1"/>
  <c r="P273"/>
  <c r="D273" s="1"/>
  <c r="P145"/>
  <c r="D145" s="1"/>
  <c r="P182"/>
  <c r="D182" s="1"/>
  <c r="P205"/>
  <c r="D205" s="1"/>
  <c r="P202"/>
  <c r="D202" s="1"/>
  <c r="P223"/>
  <c r="D223" s="1"/>
  <c r="P180"/>
  <c r="D180" s="1"/>
  <c r="P208"/>
  <c r="D208" s="1"/>
  <c r="P281"/>
  <c r="D281" s="1"/>
  <c r="P138"/>
  <c r="D138" s="1"/>
  <c r="P236"/>
  <c r="D236" s="1"/>
  <c r="P306"/>
  <c r="D306" s="1"/>
  <c r="P142"/>
  <c r="D142" s="1"/>
  <c r="F142" s="1"/>
  <c r="B142" s="1"/>
  <c r="P105"/>
  <c r="F105" s="1"/>
  <c r="D105" s="1"/>
  <c r="C105" s="1"/>
  <c r="P200"/>
  <c r="D200" s="1"/>
  <c r="P271"/>
  <c r="D271" s="1"/>
  <c r="P175"/>
  <c r="D175" s="1"/>
  <c r="P304"/>
  <c r="D304" s="1"/>
  <c r="P169"/>
  <c r="D169" s="1"/>
  <c r="P160"/>
  <c r="D160" s="1"/>
  <c r="P289"/>
  <c r="D289" s="1"/>
  <c r="P129"/>
  <c r="D129" s="1"/>
  <c r="C129" s="1"/>
  <c r="P101"/>
  <c r="F101" s="1"/>
  <c r="D101" s="1"/>
  <c r="C101" s="1"/>
  <c r="P97"/>
  <c r="F97" s="1"/>
  <c r="D97" s="1"/>
  <c r="C97" s="1"/>
  <c r="P125"/>
  <c r="D125" s="1"/>
  <c r="C125" s="1"/>
  <c r="P113"/>
  <c r="F113" s="1"/>
  <c r="D113" s="1"/>
  <c r="C113" s="1"/>
  <c r="P107"/>
  <c r="F107" s="1"/>
  <c r="D107" s="1"/>
  <c r="C107" s="1"/>
  <c r="P136"/>
  <c r="D136" s="1"/>
  <c r="P302"/>
  <c r="D302" s="1"/>
  <c r="P258"/>
  <c r="D258" s="1"/>
  <c r="P109"/>
  <c r="F109" s="1"/>
  <c r="D109" s="1"/>
  <c r="C109" s="1"/>
  <c r="P266"/>
  <c r="D266" s="1"/>
  <c r="P177"/>
  <c r="D177" s="1"/>
  <c r="P300"/>
  <c r="D300" s="1"/>
  <c r="P297"/>
  <c r="D297" s="1"/>
  <c r="P286"/>
  <c r="D286" s="1"/>
  <c r="P295"/>
  <c r="D295" s="1"/>
  <c r="P211"/>
  <c r="D211" s="1"/>
  <c r="P163"/>
  <c r="D163" s="1"/>
  <c r="P259"/>
  <c r="D259" s="1"/>
  <c r="P153"/>
  <c r="D153" s="1"/>
  <c r="P229"/>
  <c r="D229" s="1"/>
  <c r="P265"/>
  <c r="D265" s="1"/>
  <c r="P184"/>
  <c r="D184" s="1"/>
  <c r="P220"/>
  <c r="D220" s="1"/>
  <c r="P209"/>
  <c r="D209" s="1"/>
  <c r="P241"/>
  <c r="D241" s="1"/>
  <c r="P149"/>
  <c r="D149" s="1"/>
  <c r="P250"/>
  <c r="D250" s="1"/>
  <c r="P225"/>
  <c r="D225" s="1"/>
  <c r="P245"/>
  <c r="D245" s="1"/>
  <c r="P141"/>
  <c r="D141" s="1"/>
  <c r="P165"/>
  <c r="D165" s="1"/>
  <c r="P290"/>
  <c r="D290" s="1"/>
  <c r="P178"/>
  <c r="D178" s="1"/>
  <c r="P170"/>
  <c r="D170" s="1"/>
  <c r="P303"/>
  <c r="D303" s="1"/>
  <c r="P243"/>
  <c r="D243" s="1"/>
  <c r="P263"/>
  <c r="D263" s="1"/>
  <c r="P268"/>
  <c r="D268" s="1"/>
  <c r="P213"/>
  <c r="D213" s="1"/>
  <c r="P195"/>
  <c r="D195" s="1"/>
  <c r="P167"/>
  <c r="D167" s="1"/>
  <c r="P186"/>
  <c r="D186" s="1"/>
  <c r="P185"/>
  <c r="D185" s="1"/>
  <c r="P247"/>
  <c r="D247" s="1"/>
  <c r="P283"/>
  <c r="D283" s="1"/>
  <c r="P173"/>
  <c r="D173" s="1"/>
  <c r="P246"/>
  <c r="D246" s="1"/>
  <c r="P260"/>
  <c r="D260" s="1"/>
  <c r="P162"/>
  <c r="D162" s="1"/>
  <c r="P197"/>
  <c r="D197" s="1"/>
  <c r="P215"/>
  <c r="D215" s="1"/>
  <c r="P284"/>
  <c r="D284" s="1"/>
  <c r="P150"/>
  <c r="D150" s="1"/>
  <c r="P194"/>
  <c r="D194" s="1"/>
  <c r="P274"/>
  <c r="D274" s="1"/>
  <c r="P183"/>
  <c r="D183" s="1"/>
  <c r="P210"/>
  <c r="D210" s="1"/>
  <c r="P157"/>
  <c r="D157" s="1"/>
  <c r="P270"/>
  <c r="D270" s="1"/>
  <c r="P279"/>
  <c r="D279" s="1"/>
  <c r="P181"/>
  <c r="D181" s="1"/>
  <c r="P296"/>
  <c r="D296" s="1"/>
  <c r="P164"/>
  <c r="D164" s="1"/>
  <c r="P156"/>
  <c r="D156" s="1"/>
  <c r="AB156" s="1"/>
  <c r="P299"/>
  <c r="D299" s="1"/>
  <c r="P264"/>
  <c r="D264" s="1"/>
  <c r="AB264" s="1"/>
  <c r="P239"/>
  <c r="D239" s="1"/>
  <c r="AB239" s="1"/>
  <c r="P192"/>
  <c r="D192" s="1"/>
  <c r="F192" s="1"/>
  <c r="B192" s="1"/>
  <c r="P261"/>
  <c r="D261" s="1"/>
  <c r="AB261" s="1"/>
  <c r="P278"/>
  <c r="D278" s="1"/>
  <c r="AB278" s="1"/>
  <c r="P282"/>
  <c r="D282" s="1"/>
  <c r="AB282" s="1"/>
  <c r="P240"/>
  <c r="D240" s="1"/>
  <c r="AB240" s="1"/>
  <c r="P235"/>
  <c r="D235" s="1"/>
  <c r="P275"/>
  <c r="D275" s="1"/>
  <c r="AB275" s="1"/>
  <c r="P228"/>
  <c r="D228" s="1"/>
  <c r="F228" s="1"/>
  <c r="B228" s="1"/>
  <c r="P242"/>
  <c r="D242" s="1"/>
  <c r="AB242" s="1"/>
  <c r="P257"/>
  <c r="D257" s="1"/>
  <c r="AB257" s="1"/>
  <c r="P226"/>
  <c r="D226" s="1"/>
  <c r="F226" s="1"/>
  <c r="B226" s="1"/>
  <c r="P292"/>
  <c r="D292" s="1"/>
  <c r="AB292" s="1"/>
  <c r="P168"/>
  <c r="D168" s="1"/>
  <c r="F168" s="1"/>
  <c r="B168" s="1"/>
  <c r="P221"/>
  <c r="D221" s="1"/>
  <c r="AB221" s="1"/>
  <c r="P298"/>
  <c r="D298" s="1"/>
  <c r="AB298" s="1"/>
  <c r="P154"/>
  <c r="D154" s="1"/>
  <c r="Y153" s="1"/>
  <c r="P255"/>
  <c r="D255" s="1"/>
  <c r="AB255" s="1"/>
  <c r="P188"/>
  <c r="D188" s="1"/>
  <c r="F188" s="1"/>
  <c r="B188" s="1"/>
  <c r="P190"/>
  <c r="D190" s="1"/>
  <c r="P294"/>
  <c r="D294" s="1"/>
  <c r="AB294" s="1"/>
  <c r="P198"/>
  <c r="D198" s="1"/>
  <c r="F198" s="1"/>
  <c r="B198" s="1"/>
  <c r="P287"/>
  <c r="D287" s="1"/>
  <c r="AB287" s="1"/>
  <c r="P301"/>
  <c r="D301" s="1"/>
  <c r="AB301" s="1"/>
  <c r="P212"/>
  <c r="D212" s="1"/>
  <c r="P218"/>
  <c r="D218" s="1"/>
  <c r="P305"/>
  <c r="D305" s="1"/>
  <c r="P155"/>
  <c r="D155" s="1"/>
  <c r="P206"/>
  <c r="D206" s="1"/>
  <c r="P248"/>
  <c r="D248" s="1"/>
  <c r="P216"/>
  <c r="D216" s="1"/>
  <c r="P176"/>
  <c r="D176" s="1"/>
  <c r="P119"/>
  <c r="D119" s="1"/>
  <c r="C119" s="1"/>
  <c r="P224"/>
  <c r="D224" s="1"/>
  <c r="P267"/>
  <c r="D267" s="1"/>
  <c r="P151"/>
  <c r="D151" s="1"/>
  <c r="P123"/>
  <c r="P115"/>
  <c r="D115" s="1"/>
  <c r="C115" s="1"/>
  <c r="P172"/>
  <c r="D172" s="1"/>
  <c r="P139"/>
  <c r="D139" s="1"/>
  <c r="P191"/>
  <c r="D191" s="1"/>
  <c r="P143"/>
  <c r="D143" s="1"/>
  <c r="P199"/>
  <c r="D199" s="1"/>
  <c r="P219"/>
  <c r="D219" s="1"/>
  <c r="P158"/>
  <c r="D158" s="1"/>
  <c r="P262"/>
  <c r="D262" s="1"/>
  <c r="P166"/>
  <c r="D166" s="1"/>
  <c r="P95"/>
  <c r="F95" s="1"/>
  <c r="D95" s="1"/>
  <c r="C95" s="1"/>
  <c r="P111"/>
  <c r="F111" s="1"/>
  <c r="D111" s="1"/>
  <c r="C111" s="1"/>
  <c r="P99"/>
  <c r="F99" s="1"/>
  <c r="D99" s="1"/>
  <c r="C99" s="1"/>
  <c r="P92"/>
  <c r="D92" s="1"/>
  <c r="P161"/>
  <c r="D161" s="1"/>
  <c r="P131"/>
  <c r="D131" s="1"/>
  <c r="P132"/>
  <c r="D132" s="1"/>
  <c r="R52" s="1"/>
  <c r="P133"/>
  <c r="D133" s="1"/>
  <c r="S52" s="1"/>
  <c r="P130"/>
  <c r="D130" s="1"/>
  <c r="P110"/>
  <c r="F110" s="1"/>
  <c r="D110" s="1"/>
  <c r="P106"/>
  <c r="F106" s="1"/>
  <c r="D106" s="1"/>
  <c r="P98"/>
  <c r="F98" s="1"/>
  <c r="D98" s="1"/>
  <c r="P102"/>
  <c r="F102" s="1"/>
  <c r="D102" s="1"/>
  <c r="P126"/>
  <c r="D126" s="1"/>
  <c r="P118"/>
  <c r="D118" s="1"/>
  <c r="P94"/>
  <c r="F94" s="1"/>
  <c r="D94" s="1"/>
  <c r="P122"/>
  <c r="D122" s="1"/>
  <c r="P134"/>
  <c r="D134" s="1"/>
  <c r="T52" s="1"/>
  <c r="Q25"/>
  <c r="Q29" s="1"/>
  <c r="F29" s="1"/>
  <c r="P114"/>
  <c r="D114" s="1"/>
  <c r="Y211" l="1"/>
  <c r="Y150"/>
  <c r="F141"/>
  <c r="B141" s="1"/>
  <c r="F136"/>
  <c r="D123"/>
  <c r="C123" s="1"/>
  <c r="Y189"/>
  <c r="Y234"/>
  <c r="Y217"/>
  <c r="Y292"/>
  <c r="F92"/>
  <c r="Y154"/>
  <c r="W52"/>
  <c r="T55"/>
  <c r="T56" s="1"/>
  <c r="B119"/>
  <c r="E120" s="1"/>
  <c r="C118"/>
  <c r="B107"/>
  <c r="E108" s="1"/>
  <c r="C106"/>
  <c r="C126"/>
  <c r="B127"/>
  <c r="E128" s="1"/>
  <c r="C98"/>
  <c r="B99"/>
  <c r="E100" s="1"/>
  <c r="C110"/>
  <c r="B111"/>
  <c r="E112" s="1"/>
  <c r="V52"/>
  <c r="S55"/>
  <c r="S56" s="1"/>
  <c r="R55"/>
  <c r="R56" s="1"/>
  <c r="U52"/>
  <c r="B115"/>
  <c r="E116" s="1"/>
  <c r="C114"/>
  <c r="B95"/>
  <c r="E96" s="1"/>
  <c r="C94"/>
  <c r="B103"/>
  <c r="E104" s="1"/>
  <c r="C102"/>
  <c r="B131"/>
  <c r="B132"/>
  <c r="P52"/>
  <c r="P55" s="1"/>
  <c r="P56" s="1"/>
  <c r="C130"/>
  <c r="AB262"/>
  <c r="F262"/>
  <c r="B262" s="1"/>
  <c r="Y261"/>
  <c r="Y218"/>
  <c r="F219"/>
  <c r="B219" s="1"/>
  <c r="AB219"/>
  <c r="F143"/>
  <c r="B143" s="1"/>
  <c r="Y140"/>
  <c r="F139"/>
  <c r="Y138"/>
  <c r="Y266"/>
  <c r="F267"/>
  <c r="B267" s="1"/>
  <c r="AB267"/>
  <c r="F216"/>
  <c r="B216" s="1"/>
  <c r="Y215"/>
  <c r="AB216"/>
  <c r="F206"/>
  <c r="B206" s="1"/>
  <c r="AB206"/>
  <c r="Y205"/>
  <c r="Y295"/>
  <c r="F296"/>
  <c r="B296" s="1"/>
  <c r="AB296"/>
  <c r="Y278"/>
  <c r="F279"/>
  <c r="B279" s="1"/>
  <c r="AB279"/>
  <c r="F157"/>
  <c r="B157" s="1"/>
  <c r="Y156"/>
  <c r="Y134" s="1"/>
  <c r="AB157"/>
  <c r="F183"/>
  <c r="B183" s="1"/>
  <c r="AB183"/>
  <c r="Y182"/>
  <c r="Y193"/>
  <c r="AB194"/>
  <c r="F194"/>
  <c r="B194" s="1"/>
  <c r="F284"/>
  <c r="B284" s="1"/>
  <c r="AB284"/>
  <c r="Y283"/>
  <c r="Y196"/>
  <c r="AB197"/>
  <c r="F197"/>
  <c r="B197" s="1"/>
  <c r="Y259"/>
  <c r="AB260"/>
  <c r="F260"/>
  <c r="B260" s="1"/>
  <c r="Y172"/>
  <c r="AB173"/>
  <c r="F173"/>
  <c r="B173" s="1"/>
  <c r="Y246"/>
  <c r="F247"/>
  <c r="B247" s="1"/>
  <c r="AB247"/>
  <c r="Y185"/>
  <c r="AB186"/>
  <c r="F186"/>
  <c r="B186" s="1"/>
  <c r="F195"/>
  <c r="B195" s="1"/>
  <c r="AB195"/>
  <c r="Y194"/>
  <c r="Y267"/>
  <c r="AB268"/>
  <c r="F268"/>
  <c r="B268" s="1"/>
  <c r="F243"/>
  <c r="B243" s="1"/>
  <c r="AB243"/>
  <c r="Y242"/>
  <c r="F170"/>
  <c r="B170" s="1"/>
  <c r="AB170"/>
  <c r="Y169"/>
  <c r="AB290"/>
  <c r="F290"/>
  <c r="B290" s="1"/>
  <c r="Y289"/>
  <c r="C134"/>
  <c r="T53" s="1"/>
  <c r="C133"/>
  <c r="S53" s="1"/>
  <c r="S58" s="1"/>
  <c r="C132"/>
  <c r="R53" s="1"/>
  <c r="R58" s="1"/>
  <c r="Q26"/>
  <c r="C131"/>
  <c r="Q53" s="1"/>
  <c r="Q58" s="1"/>
  <c r="Q52"/>
  <c r="Q55" s="1"/>
  <c r="Q56" s="1"/>
  <c r="Y160"/>
  <c r="AB161"/>
  <c r="F161"/>
  <c r="B161" s="1"/>
  <c r="F166"/>
  <c r="B166" s="1"/>
  <c r="Y165"/>
  <c r="AB166"/>
  <c r="F158"/>
  <c r="B158" s="1"/>
  <c r="AB158"/>
  <c r="F199"/>
  <c r="B199" s="1"/>
  <c r="Y198"/>
  <c r="AB199"/>
  <c r="Y190"/>
  <c r="F191"/>
  <c r="B191" s="1"/>
  <c r="AB191"/>
  <c r="F172"/>
  <c r="B172" s="1"/>
  <c r="AB172"/>
  <c r="Y171"/>
  <c r="Y223"/>
  <c r="F224"/>
  <c r="B224" s="1"/>
  <c r="AB224"/>
  <c r="F176"/>
  <c r="B176" s="1"/>
  <c r="Y175"/>
  <c r="AB176"/>
  <c r="Y247"/>
  <c r="AB248"/>
  <c r="F248"/>
  <c r="B248" s="1"/>
  <c r="Y163"/>
  <c r="AB164"/>
  <c r="F164"/>
  <c r="B164" s="1"/>
  <c r="F181"/>
  <c r="B181" s="1"/>
  <c r="AB181"/>
  <c r="Y180"/>
  <c r="Y269"/>
  <c r="F270"/>
  <c r="B270" s="1"/>
  <c r="AB270"/>
  <c r="F210"/>
  <c r="B210" s="1"/>
  <c r="Y209"/>
  <c r="AB210"/>
  <c r="F274"/>
  <c r="B274" s="1"/>
  <c r="AB274"/>
  <c r="Y273"/>
  <c r="F150"/>
  <c r="B150" s="1"/>
  <c r="Y149"/>
  <c r="Y214"/>
  <c r="AB215"/>
  <c r="F215"/>
  <c r="B215" s="1"/>
  <c r="Y161"/>
  <c r="AB162"/>
  <c r="F162"/>
  <c r="B162" s="1"/>
  <c r="Y245"/>
  <c r="AB246"/>
  <c r="F246"/>
  <c r="B246" s="1"/>
  <c r="AB283"/>
  <c r="Y282"/>
  <c r="F283"/>
  <c r="B283" s="1"/>
  <c r="F185"/>
  <c r="B185" s="1"/>
  <c r="AB185"/>
  <c r="Y184"/>
  <c r="F167"/>
  <c r="B167" s="1"/>
  <c r="AB167"/>
  <c r="Y166"/>
  <c r="Y212"/>
  <c r="AB213"/>
  <c r="F213"/>
  <c r="B213" s="1"/>
  <c r="F263"/>
  <c r="B263" s="1"/>
  <c r="AB263"/>
  <c r="Y262"/>
  <c r="F303"/>
  <c r="B303" s="1"/>
  <c r="AB303"/>
  <c r="Y302"/>
  <c r="Y177"/>
  <c r="AB178"/>
  <c r="F178"/>
  <c r="B178" s="1"/>
  <c r="Y164"/>
  <c r="AB165"/>
  <c r="F165"/>
  <c r="B165" s="1"/>
  <c r="C122"/>
  <c r="F245"/>
  <c r="B245" s="1"/>
  <c r="AB245"/>
  <c r="Y244"/>
  <c r="F225"/>
  <c r="B225" s="1"/>
  <c r="AB225"/>
  <c r="Y224"/>
  <c r="Y249"/>
  <c r="AB250"/>
  <c r="F250"/>
  <c r="B250" s="1"/>
  <c r="Y148"/>
  <c r="F149"/>
  <c r="B149" s="1"/>
  <c r="AB241"/>
  <c r="F241"/>
  <c r="B241" s="1"/>
  <c r="Y240"/>
  <c r="F209"/>
  <c r="B209" s="1"/>
  <c r="Y208"/>
  <c r="AB209"/>
  <c r="AB220"/>
  <c r="Y219"/>
  <c r="F220"/>
  <c r="B220" s="1"/>
  <c r="Y183"/>
  <c r="AB184"/>
  <c r="F184"/>
  <c r="B184" s="1"/>
  <c r="Y264"/>
  <c r="AB265"/>
  <c r="F265"/>
  <c r="B265" s="1"/>
  <c r="F229"/>
  <c r="B229" s="1"/>
  <c r="AB229"/>
  <c r="Y228"/>
  <c r="Y152"/>
  <c r="F153"/>
  <c r="B153" s="1"/>
  <c r="Y258"/>
  <c r="F259"/>
  <c r="B259" s="1"/>
  <c r="AB259"/>
  <c r="Y162"/>
  <c r="F163"/>
  <c r="B163" s="1"/>
  <c r="AB163"/>
  <c r="AB211"/>
  <c r="F211"/>
  <c r="B211" s="1"/>
  <c r="Y210"/>
  <c r="AB295"/>
  <c r="F295"/>
  <c r="B295" s="1"/>
  <c r="Y294"/>
  <c r="AB286"/>
  <c r="F286"/>
  <c r="B286" s="1"/>
  <c r="Y285"/>
  <c r="F297"/>
  <c r="B297" s="1"/>
  <c r="AB297"/>
  <c r="Y296"/>
  <c r="Y299"/>
  <c r="AB300"/>
  <c r="F300"/>
  <c r="B300" s="1"/>
  <c r="F177"/>
  <c r="B177" s="1"/>
  <c r="Y176"/>
  <c r="AB177"/>
  <c r="F266"/>
  <c r="B266" s="1"/>
  <c r="AB266"/>
  <c r="Y265"/>
  <c r="F289"/>
  <c r="B289" s="1"/>
  <c r="AB289"/>
  <c r="Y288"/>
  <c r="AB169"/>
  <c r="F169"/>
  <c r="B169" s="1"/>
  <c r="Y168"/>
  <c r="AB175"/>
  <c r="F175"/>
  <c r="B175" s="1"/>
  <c r="Y174"/>
  <c r="AB200"/>
  <c r="F200"/>
  <c r="B200" s="1"/>
  <c r="Y199"/>
  <c r="F306"/>
  <c r="B306" s="1"/>
  <c r="Y305"/>
  <c r="AB306"/>
  <c r="F138"/>
  <c r="Y137"/>
  <c r="Y207"/>
  <c r="F208"/>
  <c r="B208" s="1"/>
  <c r="AB208"/>
  <c r="F223"/>
  <c r="B223" s="1"/>
  <c r="Y222"/>
  <c r="AB223"/>
  <c r="F205"/>
  <c r="B205" s="1"/>
  <c r="Y204"/>
  <c r="AB205"/>
  <c r="F145"/>
  <c r="B145" s="1"/>
  <c r="Y142"/>
  <c r="Y144"/>
  <c r="AB237"/>
  <c r="F237"/>
  <c r="B237" s="1"/>
  <c r="Y236"/>
  <c r="AB204"/>
  <c r="Y203"/>
  <c r="F204"/>
  <c r="B204" s="1"/>
  <c r="F152"/>
  <c r="B152" s="1"/>
  <c r="Y151"/>
  <c r="AB227"/>
  <c r="Y226"/>
  <c r="F227"/>
  <c r="B227" s="1"/>
  <c r="F277"/>
  <c r="B277" s="1"/>
  <c r="AB277"/>
  <c r="Y276"/>
  <c r="Y243"/>
  <c r="AB244"/>
  <c r="F244"/>
  <c r="B244" s="1"/>
  <c r="Y271"/>
  <c r="F272"/>
  <c r="B272" s="1"/>
  <c r="AB272"/>
  <c r="Y145"/>
  <c r="F146"/>
  <c r="B146" s="1"/>
  <c r="Y178"/>
  <c r="AB179"/>
  <c r="F179"/>
  <c r="B179" s="1"/>
  <c r="Y229"/>
  <c r="F230"/>
  <c r="B230" s="1"/>
  <c r="AB230"/>
  <c r="F254"/>
  <c r="B254" s="1"/>
  <c r="AB254"/>
  <c r="Y253"/>
  <c r="F140"/>
  <c r="Y139"/>
  <c r="F193"/>
  <c r="B193" s="1"/>
  <c r="AB193"/>
  <c r="Y192"/>
  <c r="Y284"/>
  <c r="F285"/>
  <c r="B285" s="1"/>
  <c r="AB285"/>
  <c r="Y251"/>
  <c r="AB252"/>
  <c r="F252"/>
  <c r="B252" s="1"/>
  <c r="AB232"/>
  <c r="F232"/>
  <c r="B232" s="1"/>
  <c r="Y231"/>
  <c r="F276"/>
  <c r="B276" s="1"/>
  <c r="Y275"/>
  <c r="AB276"/>
  <c r="F155"/>
  <c r="B155" s="1"/>
  <c r="F305"/>
  <c r="B305" s="1"/>
  <c r="Y304"/>
  <c r="AB218"/>
  <c r="F218"/>
  <c r="B218" s="1"/>
  <c r="AB212"/>
  <c r="F212"/>
  <c r="B212" s="1"/>
  <c r="F301"/>
  <c r="B301" s="1"/>
  <c r="Y300"/>
  <c r="Y286"/>
  <c r="F287"/>
  <c r="B287" s="1"/>
  <c r="AB198"/>
  <c r="Y197"/>
  <c r="F294"/>
  <c r="B294" s="1"/>
  <c r="Y293"/>
  <c r="AB190"/>
  <c r="F190"/>
  <c r="B190" s="1"/>
  <c r="AB188"/>
  <c r="Y187"/>
  <c r="F255"/>
  <c r="B255" s="1"/>
  <c r="Y254"/>
  <c r="F154"/>
  <c r="B154" s="1"/>
  <c r="Y297"/>
  <c r="F298"/>
  <c r="B298" s="1"/>
  <c r="F221"/>
  <c r="B221" s="1"/>
  <c r="Y220"/>
  <c r="AB168"/>
  <c r="Y167"/>
  <c r="F292"/>
  <c r="B292" s="1"/>
  <c r="Y291"/>
  <c r="Y225"/>
  <c r="AB226"/>
  <c r="F257"/>
  <c r="B257" s="1"/>
  <c r="Y256"/>
  <c r="Y241"/>
  <c r="F242"/>
  <c r="B242" s="1"/>
  <c r="Y227"/>
  <c r="AB228"/>
  <c r="F275"/>
  <c r="B275" s="1"/>
  <c r="F235"/>
  <c r="B235" s="1"/>
  <c r="Y239"/>
  <c r="Y281"/>
  <c r="F278"/>
  <c r="B278" s="1"/>
  <c r="F261"/>
  <c r="B261" s="1"/>
  <c r="AB192"/>
  <c r="F239"/>
  <c r="B239" s="1"/>
  <c r="F264"/>
  <c r="B264" s="1"/>
  <c r="Y250"/>
  <c r="Y158"/>
  <c r="Y290"/>
  <c r="Y188"/>
  <c r="Y200"/>
  <c r="Y298"/>
  <c r="AB299"/>
  <c r="F299"/>
  <c r="B299" s="1"/>
  <c r="D91"/>
  <c r="F156"/>
  <c r="B156" s="1"/>
  <c r="Y155"/>
  <c r="AB258"/>
  <c r="Y257"/>
  <c r="F258"/>
  <c r="B258" s="1"/>
  <c r="AB302"/>
  <c r="Y301"/>
  <c r="F302"/>
  <c r="B302" s="1"/>
  <c r="Y159"/>
  <c r="F160"/>
  <c r="B160" s="1"/>
  <c r="AB160"/>
  <c r="F304"/>
  <c r="B304" s="1"/>
  <c r="Y303"/>
  <c r="AB304"/>
  <c r="AB271"/>
  <c r="F271"/>
  <c r="B271" s="1"/>
  <c r="Y270"/>
  <c r="AB236"/>
  <c r="F236"/>
  <c r="B236" s="1"/>
  <c r="Y235"/>
  <c r="AB281"/>
  <c r="F281"/>
  <c r="B281" s="1"/>
  <c r="Y280"/>
  <c r="Y179"/>
  <c r="F180"/>
  <c r="B180" s="1"/>
  <c r="AB180"/>
  <c r="F202"/>
  <c r="B202" s="1"/>
  <c r="Y201"/>
  <c r="AB202"/>
  <c r="Y181"/>
  <c r="F182"/>
  <c r="B182" s="1"/>
  <c r="AB182"/>
  <c r="AB273"/>
  <c r="F273"/>
  <c r="B273" s="1"/>
  <c r="Y272"/>
  <c r="Y170"/>
  <c r="F171"/>
  <c r="B171" s="1"/>
  <c r="AB171"/>
  <c r="Y173"/>
  <c r="AB174"/>
  <c r="F174"/>
  <c r="B174" s="1"/>
  <c r="AB249"/>
  <c r="F249"/>
  <c r="B249" s="1"/>
  <c r="Y248"/>
  <c r="AB203"/>
  <c r="Y202"/>
  <c r="F203"/>
  <c r="B203" s="1"/>
  <c r="F280"/>
  <c r="B280" s="1"/>
  <c r="AB280"/>
  <c r="Y279"/>
  <c r="Y213"/>
  <c r="AB214"/>
  <c r="F214"/>
  <c r="B214" s="1"/>
  <c r="F256"/>
  <c r="B256" s="1"/>
  <c r="Y255"/>
  <c r="AB256"/>
  <c r="F269"/>
  <c r="B269" s="1"/>
  <c r="AB269"/>
  <c r="Y268"/>
  <c r="AB207"/>
  <c r="Y206"/>
  <c r="Y135" s="1"/>
  <c r="F207"/>
  <c r="B207" s="1"/>
  <c r="Y186"/>
  <c r="AB187"/>
  <c r="F187"/>
  <c r="B187" s="1"/>
  <c r="F148"/>
  <c r="B148" s="1"/>
  <c r="Y147"/>
  <c r="Y230"/>
  <c r="AB231"/>
  <c r="F231"/>
  <c r="B231" s="1"/>
  <c r="Y252"/>
  <c r="F253"/>
  <c r="B253" s="1"/>
  <c r="AB253"/>
  <c r="F217"/>
  <c r="B217" s="1"/>
  <c r="AB217"/>
  <c r="Y216"/>
  <c r="Y237"/>
  <c r="AB238"/>
  <c r="F238"/>
  <c r="B238" s="1"/>
  <c r="Y141"/>
  <c r="Y143"/>
  <c r="F144"/>
  <c r="B144" s="1"/>
  <c r="F151"/>
  <c r="B151" s="1"/>
  <c r="AB305"/>
  <c r="Y274"/>
  <c r="AB235"/>
  <c r="F240"/>
  <c r="B240" s="1"/>
  <c r="F282"/>
  <c r="B282" s="1"/>
  <c r="Y277"/>
  <c r="Y260"/>
  <c r="Y191"/>
  <c r="Y238"/>
  <c r="Y263"/>
  <c r="AB251"/>
  <c r="F159"/>
  <c r="B159" s="1"/>
  <c r="AB159"/>
  <c r="AB293"/>
  <c r="F293"/>
  <c r="B293" s="1"/>
  <c r="F288"/>
  <c r="B288" s="1"/>
  <c r="Y287"/>
  <c r="F234"/>
  <c r="B234" s="1"/>
  <c r="Y233"/>
  <c r="Y146"/>
  <c r="Y195"/>
  <c r="AB291"/>
  <c r="Y221"/>
  <c r="F189"/>
  <c r="B189" s="1"/>
  <c r="F201"/>
  <c r="B201" s="1"/>
  <c r="F233"/>
  <c r="B233" s="1"/>
  <c r="F251"/>
  <c r="B251" s="1"/>
  <c r="Y157"/>
  <c r="AB196"/>
  <c r="F291"/>
  <c r="B291" s="1"/>
  <c r="AB222"/>
  <c r="AB189"/>
  <c r="AB201"/>
  <c r="Y232"/>
  <c r="F91" l="1"/>
  <c r="Z135"/>
  <c r="B123"/>
  <c r="E124" s="1"/>
  <c r="T124" s="1"/>
  <c r="AB135"/>
  <c r="AB147"/>
  <c r="P60"/>
  <c r="P104"/>
  <c r="V104"/>
  <c r="I104"/>
  <c r="S104"/>
  <c r="T104"/>
  <c r="K104"/>
  <c r="L104"/>
  <c r="H104"/>
  <c r="G104"/>
  <c r="U104"/>
  <c r="N104"/>
  <c r="O104"/>
  <c r="M104"/>
  <c r="W104"/>
  <c r="Q104"/>
  <c r="X104"/>
  <c r="R104"/>
  <c r="J104"/>
  <c r="X52"/>
  <c r="U55"/>
  <c r="S60"/>
  <c r="S59"/>
  <c r="S61" s="1"/>
  <c r="P112"/>
  <c r="W112"/>
  <c r="N112"/>
  <c r="I112"/>
  <c r="M112"/>
  <c r="O112"/>
  <c r="Q112"/>
  <c r="K112"/>
  <c r="V112"/>
  <c r="X112"/>
  <c r="G112"/>
  <c r="S112"/>
  <c r="H112"/>
  <c r="J112"/>
  <c r="R112"/>
  <c r="T112"/>
  <c r="U112"/>
  <c r="L112"/>
  <c r="P108"/>
  <c r="G108"/>
  <c r="X108"/>
  <c r="H108"/>
  <c r="S108"/>
  <c r="R108"/>
  <c r="Q108"/>
  <c r="I108"/>
  <c r="N108"/>
  <c r="U108"/>
  <c r="V108"/>
  <c r="M108"/>
  <c r="L108"/>
  <c r="O108"/>
  <c r="T108"/>
  <c r="J108"/>
  <c r="W108"/>
  <c r="K108"/>
  <c r="P120"/>
  <c r="R120"/>
  <c r="S120"/>
  <c r="N120"/>
  <c r="V120"/>
  <c r="K120"/>
  <c r="J120"/>
  <c r="T120"/>
  <c r="O120"/>
  <c r="L120"/>
  <c r="G120"/>
  <c r="U120"/>
  <c r="M120"/>
  <c r="Q120"/>
  <c r="H120"/>
  <c r="W120"/>
  <c r="X120"/>
  <c r="I120"/>
  <c r="G91"/>
  <c r="AB148"/>
  <c r="Y133"/>
  <c r="Q60"/>
  <c r="Q59"/>
  <c r="Q61" s="1"/>
  <c r="T58"/>
  <c r="T59" s="1"/>
  <c r="X53"/>
  <c r="X58" s="1"/>
  <c r="U53"/>
  <c r="U58" s="1"/>
  <c r="V53"/>
  <c r="V58" s="1"/>
  <c r="W53"/>
  <c r="W58" s="1"/>
  <c r="A132"/>
  <c r="P53"/>
  <c r="P58" s="1"/>
  <c r="P59" s="1"/>
  <c r="P96"/>
  <c r="J96"/>
  <c r="T96"/>
  <c r="V96"/>
  <c r="O96"/>
  <c r="S96"/>
  <c r="L96"/>
  <c r="N96"/>
  <c r="X96"/>
  <c r="I96"/>
  <c r="U96"/>
  <c r="K96"/>
  <c r="M96"/>
  <c r="W96"/>
  <c r="R96"/>
  <c r="G96"/>
  <c r="Q96"/>
  <c r="H96"/>
  <c r="P116"/>
  <c r="I116"/>
  <c r="W116"/>
  <c r="V116"/>
  <c r="Q116"/>
  <c r="J116"/>
  <c r="O116"/>
  <c r="N116"/>
  <c r="M116"/>
  <c r="H116"/>
  <c r="G116"/>
  <c r="T116"/>
  <c r="K116"/>
  <c r="S116"/>
  <c r="U116"/>
  <c r="X116"/>
  <c r="R116"/>
  <c r="L116"/>
  <c r="R60"/>
  <c r="R59"/>
  <c r="R61" s="1"/>
  <c r="P100"/>
  <c r="Q100"/>
  <c r="G100"/>
  <c r="K100"/>
  <c r="X100"/>
  <c r="V100"/>
  <c r="M100"/>
  <c r="O100"/>
  <c r="R100"/>
  <c r="W100"/>
  <c r="T100"/>
  <c r="J100"/>
  <c r="H100"/>
  <c r="L100"/>
  <c r="S100"/>
  <c r="N100"/>
  <c r="U100"/>
  <c r="I100"/>
  <c r="P128"/>
  <c r="N128"/>
  <c r="R128"/>
  <c r="S128"/>
  <c r="T128"/>
  <c r="G128"/>
  <c r="U128"/>
  <c r="M128"/>
  <c r="J128"/>
  <c r="I128"/>
  <c r="W128"/>
  <c r="H128"/>
  <c r="O128"/>
  <c r="Q128"/>
  <c r="K128"/>
  <c r="V128"/>
  <c r="X128"/>
  <c r="L128"/>
  <c r="T60"/>
  <c r="R124" l="1"/>
  <c r="U124"/>
  <c r="V124"/>
  <c r="P124"/>
  <c r="O124"/>
  <c r="W124"/>
  <c r="G124"/>
  <c r="H124"/>
  <c r="Q124"/>
  <c r="J124"/>
  <c r="M124"/>
  <c r="K124"/>
  <c r="N124"/>
  <c r="S124"/>
  <c r="I124"/>
  <c r="L124"/>
  <c r="X124"/>
  <c r="D120"/>
  <c r="U56"/>
  <c r="V55"/>
  <c r="D128"/>
  <c r="B128" s="1"/>
  <c r="F100"/>
  <c r="D100" s="1"/>
  <c r="D116"/>
  <c r="F96"/>
  <c r="D96" s="1"/>
  <c r="P61"/>
  <c r="T61"/>
  <c r="F108"/>
  <c r="D108" s="1"/>
  <c r="F112"/>
  <c r="D112" s="1"/>
  <c r="F104"/>
  <c r="D104" s="1"/>
  <c r="D124" l="1"/>
  <c r="C108"/>
  <c r="A108" s="1"/>
  <c r="J53" s="1"/>
  <c r="J60" s="1"/>
  <c r="B108"/>
  <c r="J52" s="1"/>
  <c r="C96"/>
  <c r="A96" s="1"/>
  <c r="G53" s="1"/>
  <c r="G60" s="1"/>
  <c r="B96"/>
  <c r="G52" s="1"/>
  <c r="C100"/>
  <c r="A100" s="1"/>
  <c r="H53" s="1"/>
  <c r="H60" s="1"/>
  <c r="B100"/>
  <c r="H52" s="1"/>
  <c r="V56"/>
  <c r="W55"/>
  <c r="C112"/>
  <c r="A112" s="1"/>
  <c r="K53" s="1"/>
  <c r="K60" s="1"/>
  <c r="B112"/>
  <c r="K52" s="1"/>
  <c r="C116"/>
  <c r="A116" s="1"/>
  <c r="L53" s="1"/>
  <c r="L58" s="1"/>
  <c r="B116"/>
  <c r="L52" s="1"/>
  <c r="L55" s="1"/>
  <c r="L56" s="1"/>
  <c r="C128"/>
  <c r="A128" s="1"/>
  <c r="O53" s="1"/>
  <c r="O58" s="1"/>
  <c r="O52"/>
  <c r="O55" s="1"/>
  <c r="O56" s="1"/>
  <c r="U60"/>
  <c r="U59"/>
  <c r="U61" s="1"/>
  <c r="C104"/>
  <c r="A104" s="1"/>
  <c r="I53" s="1"/>
  <c r="I60" s="1"/>
  <c r="B104"/>
  <c r="I52" s="1"/>
  <c r="C120"/>
  <c r="A120" s="1"/>
  <c r="M53" s="1"/>
  <c r="M58" s="1"/>
  <c r="B120"/>
  <c r="M52" s="1"/>
  <c r="M55" s="1"/>
  <c r="M56" s="1"/>
  <c r="I64" l="1"/>
  <c r="K64"/>
  <c r="H64"/>
  <c r="J64"/>
  <c r="C124"/>
  <c r="A124" s="1"/>
  <c r="N53" s="1"/>
  <c r="N58" s="1"/>
  <c r="B124"/>
  <c r="N52" s="1"/>
  <c r="N55" s="1"/>
  <c r="N56" s="1"/>
  <c r="M59"/>
  <c r="M61" s="1"/>
  <c r="M60"/>
  <c r="V60"/>
  <c r="V59"/>
  <c r="V61" s="1"/>
  <c r="F60"/>
  <c r="G64"/>
  <c r="O59"/>
  <c r="O61" s="1"/>
  <c r="O60"/>
  <c r="L59"/>
  <c r="L61" s="1"/>
  <c r="L60"/>
  <c r="X55"/>
  <c r="W56"/>
  <c r="N60" l="1"/>
  <c r="N59"/>
  <c r="N61" s="1"/>
  <c r="W60"/>
  <c r="W59"/>
  <c r="W61" s="1"/>
  <c r="X56"/>
  <c r="F59" l="1"/>
  <c r="X60"/>
  <c r="E60" s="1"/>
  <c r="X59"/>
  <c r="X61" s="1"/>
  <c r="F61" l="1"/>
  <c r="F63" s="1"/>
  <c r="A1" s="1"/>
</calcChain>
</file>

<file path=xl/sharedStrings.xml><?xml version="1.0" encoding="utf-8"?>
<sst xmlns="http://schemas.openxmlformats.org/spreadsheetml/2006/main" count="379" uniqueCount="239">
  <si>
    <t>kA</t>
  </si>
  <si>
    <t>Units</t>
  </si>
  <si>
    <t>cm</t>
  </si>
  <si>
    <t>- -</t>
  </si>
  <si>
    <t>m</t>
  </si>
  <si>
    <t>Passage length</t>
  </si>
  <si>
    <t>Water velocity</t>
  </si>
  <si>
    <t>m/s</t>
  </si>
  <si>
    <t>Peak cur. dens.</t>
  </si>
  <si>
    <t>Est. avg. temp.</t>
  </si>
  <si>
    <t>Avg. resistivity</t>
  </si>
  <si>
    <t>Heat flux density</t>
  </si>
  <si>
    <t>Heat transfer coef.</t>
  </si>
  <si>
    <t>Power density</t>
  </si>
  <si>
    <t>Fraction of circle</t>
  </si>
  <si>
    <t>Conduc. eff. i.r.</t>
  </si>
  <si>
    <t>Conduc. eff. o.r.</t>
  </si>
  <si>
    <t>System parameters:</t>
  </si>
  <si>
    <t>Friction factor</t>
  </si>
  <si>
    <t>mils</t>
  </si>
  <si>
    <t>Passage roughness</t>
  </si>
  <si>
    <r>
      <t>kA/cm</t>
    </r>
    <r>
      <rPr>
        <vertAlign val="superscript"/>
        <sz val="8"/>
        <rFont val="Arial Narrow"/>
        <family val="2"/>
      </rPr>
      <t>2</t>
    </r>
  </si>
  <si>
    <r>
      <t>cm</t>
    </r>
    <r>
      <rPr>
        <vertAlign val="superscript"/>
        <sz val="8"/>
        <rFont val="Arial Narrow"/>
        <family val="2"/>
      </rPr>
      <t>2</t>
    </r>
  </si>
  <si>
    <r>
      <t>o</t>
    </r>
    <r>
      <rPr>
        <sz val="8"/>
        <rFont val="Arial Narrow"/>
        <family val="2"/>
      </rPr>
      <t>C</t>
    </r>
  </si>
  <si>
    <r>
      <t>mW</t>
    </r>
    <r>
      <rPr>
        <sz val="8"/>
        <rFont val="Arial Narrow"/>
        <family val="2"/>
      </rPr>
      <t xml:space="preserve"> cm</t>
    </r>
  </si>
  <si>
    <r>
      <t>W/cm</t>
    </r>
    <r>
      <rPr>
        <vertAlign val="superscript"/>
        <sz val="8"/>
        <rFont val="Arial Narrow"/>
        <family val="2"/>
      </rPr>
      <t>2</t>
    </r>
  </si>
  <si>
    <r>
      <t>W/cm</t>
    </r>
    <r>
      <rPr>
        <vertAlign val="superscript"/>
        <sz val="8"/>
        <rFont val="Arial Narrow"/>
        <family val="2"/>
      </rPr>
      <t xml:space="preserve">2 </t>
    </r>
    <r>
      <rPr>
        <sz val="8"/>
        <rFont val="Arial Narrow"/>
        <family val="2"/>
      </rPr>
      <t>C</t>
    </r>
  </si>
  <si>
    <r>
      <t xml:space="preserve">Boundary layer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T</t>
    </r>
  </si>
  <si>
    <r>
      <t>W/cm</t>
    </r>
    <r>
      <rPr>
        <vertAlign val="superscript"/>
        <sz val="8"/>
        <rFont val="Arial Narrow"/>
        <family val="2"/>
      </rPr>
      <t>3</t>
    </r>
  </si>
  <si>
    <r>
      <t>D</t>
    </r>
    <r>
      <rPr>
        <sz val="8"/>
        <rFont val="Arial Narrow"/>
        <family val="2"/>
      </rPr>
      <t>r to hot spot</t>
    </r>
  </si>
  <si>
    <r>
      <t xml:space="preserve">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T</t>
    </r>
    <r>
      <rPr>
        <vertAlign val="subscript"/>
        <sz val="8"/>
        <rFont val="Arial Narrow"/>
        <family val="2"/>
      </rPr>
      <t>g</t>
    </r>
    <r>
      <rPr>
        <sz val="8"/>
        <rFont val="Arial Narrow"/>
        <family val="2"/>
      </rPr>
      <t xml:space="preserve"> </t>
    </r>
    <r>
      <rPr>
        <vertAlign val="superscript"/>
        <sz val="8"/>
        <rFont val="Arial Narrow"/>
        <family val="2"/>
      </rPr>
      <t>o</t>
    </r>
    <r>
      <rPr>
        <sz val="8"/>
        <rFont val="Arial Narrow"/>
        <family val="2"/>
      </rPr>
      <t>C:  W/cm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</t>
    </r>
    <r>
      <rPr>
        <vertAlign val="superscript"/>
        <sz val="8"/>
        <rFont val="Arial Narrow"/>
        <family val="2"/>
      </rPr>
      <t>o</t>
    </r>
    <r>
      <rPr>
        <sz val="8"/>
        <rFont val="Arial Narrow"/>
        <family val="2"/>
      </rPr>
      <t>C =</t>
    </r>
  </si>
  <si>
    <r>
      <t>o</t>
    </r>
    <r>
      <rPr>
        <sz val="8"/>
        <rFont val="Arial Narrow"/>
        <family val="2"/>
      </rPr>
      <t>C T</t>
    </r>
    <r>
      <rPr>
        <vertAlign val="subscript"/>
        <sz val="8"/>
        <rFont val="Arial Narrow"/>
        <family val="2"/>
      </rPr>
      <t>0</t>
    </r>
  </si>
  <si>
    <t>B</t>
  </si>
  <si>
    <t>Water flow  [liters/sec]</t>
  </si>
  <si>
    <r>
      <t>Magnet resis.  [m</t>
    </r>
    <r>
      <rPr>
        <sz val="8"/>
        <rFont val="Symbol"/>
        <family val="1"/>
        <charset val="2"/>
      </rPr>
      <t>W]</t>
    </r>
    <r>
      <rPr>
        <sz val="8"/>
        <rFont val="Arial Narrow"/>
        <family val="2"/>
      </rPr>
      <t xml:space="preserve"> </t>
    </r>
  </si>
  <si>
    <t>Magnet voltage  [V]</t>
  </si>
  <si>
    <t>True avg. total T  [°C]</t>
  </si>
  <si>
    <r>
      <t xml:space="preserve">Total hot spot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T  [°C]</t>
    </r>
  </si>
  <si>
    <t>Anaconda velocity</t>
  </si>
  <si>
    <t>x</t>
  </si>
  <si>
    <t>MPa</t>
  </si>
  <si>
    <r>
      <t>B</t>
    </r>
    <r>
      <rPr>
        <vertAlign val="subscript"/>
        <sz val="8"/>
        <rFont val="Arial Narrow"/>
        <family val="2"/>
      </rPr>
      <t>SC</t>
    </r>
    <r>
      <rPr>
        <sz val="8"/>
        <rFont val="Arial Narrow"/>
        <family val="2"/>
      </rPr>
      <t>(z)</t>
    </r>
  </si>
  <si>
    <t>ΣB(z)</t>
  </si>
  <si>
    <t>Magnet MW or MA-m</t>
  </si>
  <si>
    <r>
      <t>m</t>
    </r>
    <r>
      <rPr>
        <vertAlign val="superscript"/>
        <sz val="8"/>
        <rFont val="Arial Narrow"/>
        <family val="2"/>
      </rPr>
      <t>3</t>
    </r>
  </si>
  <si>
    <r>
      <t>B</t>
    </r>
    <r>
      <rPr>
        <vertAlign val="subscript"/>
        <sz val="8"/>
        <rFont val="Arial Narrow"/>
        <family val="2"/>
      </rPr>
      <t>desired</t>
    </r>
  </si>
  <si>
    <t>Inner radius [cm]</t>
  </si>
  <si>
    <t>slope</t>
  </si>
  <si>
    <t>Min. I.R. [cm]</t>
  </si>
  <si>
    <t>min.=</t>
  </si>
  <si>
    <r>
      <t>g/cm</t>
    </r>
    <r>
      <rPr>
        <vertAlign val="superscript"/>
        <sz val="8"/>
        <rFont val="Arial Narrow"/>
        <family val="2"/>
      </rPr>
      <t>2</t>
    </r>
  </si>
  <si>
    <t xml:space="preserve"> </t>
  </si>
  <si>
    <r>
      <t>ΣB</t>
    </r>
    <r>
      <rPr>
        <vertAlign val="subscript"/>
        <sz val="8"/>
        <rFont val="Arial Narrow"/>
        <family val="2"/>
      </rPr>
      <t>Cu</t>
    </r>
    <r>
      <rPr>
        <sz val="8"/>
        <rFont val="Arial Narrow"/>
        <family val="2"/>
      </rPr>
      <t>(z)</t>
    </r>
  </si>
  <si>
    <t>SSt shell MPa &amp; thickness</t>
  </si>
  <si>
    <t>Radial build of conductor</t>
  </si>
  <si>
    <t>Axial width of conductor</t>
  </si>
  <si>
    <t>Volume, inc. SSt shell</t>
  </si>
  <si>
    <r>
      <t>MA-m</t>
    </r>
    <r>
      <rPr>
        <vertAlign val="superscript"/>
        <sz val="8"/>
        <rFont val="Arial Narrow"/>
        <family val="2"/>
      </rPr>
      <t>2</t>
    </r>
  </si>
  <si>
    <t>Magnetic moment</t>
  </si>
  <si>
    <r>
      <t>B</t>
    </r>
    <r>
      <rPr>
        <vertAlign val="subscript"/>
        <sz val="8"/>
        <rFont val="Arial Narrow"/>
        <family val="2"/>
      </rPr>
      <t>a1</t>
    </r>
    <r>
      <rPr>
        <sz val="8"/>
        <rFont val="Arial Narrow"/>
        <family val="2"/>
      </rPr>
      <t>(z)</t>
    </r>
  </si>
  <si>
    <r>
      <t>B</t>
    </r>
    <r>
      <rPr>
        <vertAlign val="subscript"/>
        <sz val="8"/>
        <rFont val="Arial Narrow"/>
        <family val="2"/>
      </rPr>
      <t>a2</t>
    </r>
    <r>
      <rPr>
        <sz val="8"/>
        <rFont val="Arial Narrow"/>
        <family val="2"/>
      </rPr>
      <t>(z)</t>
    </r>
  </si>
  <si>
    <t>Microsoft Excel 12.0 Sensitivity Report</t>
  </si>
  <si>
    <t>Worksheet: [120cm_layer.xlsx]Sheet1</t>
  </si>
  <si>
    <t>Report Created: 5/1/2011 9:22:52 AM</t>
  </si>
  <si>
    <t>Adjustable Cells</t>
  </si>
  <si>
    <t>Cell</t>
  </si>
  <si>
    <t>Name</t>
  </si>
  <si>
    <t>Final</t>
  </si>
  <si>
    <t>Value</t>
  </si>
  <si>
    <t>Reduced</t>
  </si>
  <si>
    <t>Gradient</t>
  </si>
  <si>
    <t>Constraints</t>
  </si>
  <si>
    <t>NONE</t>
  </si>
  <si>
    <t>$E$1</t>
  </si>
  <si>
    <t>$H$3</t>
  </si>
  <si>
    <t>cm m DLelectrical</t>
  </si>
  <si>
    <t>$I$3</t>
  </si>
  <si>
    <t>$J$3</t>
  </si>
  <si>
    <t>$K$3</t>
  </si>
  <si>
    <t>cm mWcm at 20 oC</t>
  </si>
  <si>
    <t>$G$9</t>
  </si>
  <si>
    <t>$H$9</t>
  </si>
  <si>
    <t>SSt shell MPa &amp; thickness m DLelectrical</t>
  </si>
  <si>
    <t>$I$9</t>
  </si>
  <si>
    <t>$J$9</t>
  </si>
  <si>
    <t>$K$9</t>
  </si>
  <si>
    <t>SSt shell MPa &amp; thickness mWcm at 20 oC</t>
  </si>
  <si>
    <t>$L$10</t>
  </si>
  <si>
    <t>kA/cm2</t>
  </si>
  <si>
    <t>$M$10</t>
  </si>
  <si>
    <t>$N$10</t>
  </si>
  <si>
    <t>kA/cm2 nWcm/deg</t>
  </si>
  <si>
    <t>$O$10</t>
  </si>
  <si>
    <t>$P$10</t>
  </si>
  <si>
    <t>$Q$10</t>
  </si>
  <si>
    <t>kA/cm2 oC T0</t>
  </si>
  <si>
    <t>$G$11</t>
  </si>
  <si>
    <t>Avg.HC=</t>
  </si>
  <si>
    <t>$H$11</t>
  </si>
  <si>
    <t>Avg.HC= m DLelectrical</t>
  </si>
  <si>
    <t>$I$11</t>
  </si>
  <si>
    <t>$J$11</t>
  </si>
  <si>
    <t>$K$11</t>
  </si>
  <si>
    <t>Avg.HC= mWcm at 20 oC</t>
  </si>
  <si>
    <t>$L$11</t>
  </si>
  <si>
    <t>$M$11</t>
  </si>
  <si>
    <t>$N$11</t>
  </si>
  <si>
    <t>Avg.HC= nWcm/deg</t>
  </si>
  <si>
    <t>$G$12</t>
  </si>
  <si>
    <t>$H$12</t>
  </si>
  <si>
    <t>min.= m DLelectrical</t>
  </si>
  <si>
    <t>$I$12</t>
  </si>
  <si>
    <t>$J$12</t>
  </si>
  <si>
    <t>$K$12</t>
  </si>
  <si>
    <t>min.= mWcm at 20 oC</t>
  </si>
  <si>
    <t>$L$18</t>
  </si>
  <si>
    <t>$M$18</t>
  </si>
  <si>
    <t>$N$18</t>
  </si>
  <si>
    <t>$O$18</t>
  </si>
  <si>
    <t>$P$18</t>
  </si>
  <si>
    <t>$Q$18</t>
  </si>
  <si>
    <t>Avg.HC= oC T0</t>
  </si>
  <si>
    <t>$R$18</t>
  </si>
  <si>
    <t>$S$18</t>
  </si>
  <si>
    <t>Avg.HC= atm. DP</t>
  </si>
  <si>
    <t>$T$18</t>
  </si>
  <si>
    <t>$U$18</t>
  </si>
  <si>
    <t>$V$18</t>
  </si>
  <si>
    <t>Avg.HC= m DLhyd</t>
  </si>
  <si>
    <t>$W$18</t>
  </si>
  <si>
    <t>$X$18</t>
  </si>
  <si>
    <t>$Y$18</t>
  </si>
  <si>
    <t>$Z$18</t>
  </si>
  <si>
    <t>$AA$18</t>
  </si>
  <si>
    <t>$AB$18</t>
  </si>
  <si>
    <t>$AC$18</t>
  </si>
  <si>
    <t>$AD$18</t>
  </si>
  <si>
    <t>$G$41</t>
  </si>
  <si>
    <t>oC</t>
  </si>
  <si>
    <t>$H$41</t>
  </si>
  <si>
    <t>oC m DLelectrical</t>
  </si>
  <si>
    <t>$I$41</t>
  </si>
  <si>
    <t>$J$41</t>
  </si>
  <si>
    <t>$K$41</t>
  </si>
  <si>
    <t>oC mWcm at 20 oC</t>
  </si>
  <si>
    <t>none</t>
  </si>
  <si>
    <r>
      <t>x10</t>
    </r>
    <r>
      <rPr>
        <vertAlign val="superscript"/>
        <sz val="8"/>
        <rFont val="Arial Narrow"/>
        <family val="2"/>
      </rPr>
      <t>7</t>
    </r>
    <r>
      <rPr>
        <sz val="8"/>
        <rFont val="Arial Narrow"/>
        <family val="2"/>
      </rPr>
      <t xml:space="preserve"> s</t>
    </r>
  </si>
  <si>
    <t>M$/ton</t>
  </si>
  <si>
    <r>
      <t>M$/m</t>
    </r>
    <r>
      <rPr>
        <vertAlign val="superscript"/>
        <sz val="8"/>
        <rFont val="Arial Narrow"/>
        <family val="2"/>
      </rPr>
      <t>3</t>
    </r>
  </si>
  <si>
    <t>T</t>
  </si>
  <si>
    <r>
      <rPr>
        <sz val="8"/>
        <rFont val="Calibri"/>
        <family val="2"/>
      </rPr>
      <t>σ</t>
    </r>
    <r>
      <rPr>
        <vertAlign val="subscript"/>
        <sz val="8"/>
        <rFont val="Arial Narrow"/>
        <family val="2"/>
      </rPr>
      <t>hoop</t>
    </r>
  </si>
  <si>
    <r>
      <t xml:space="preserve">Remain. </t>
    </r>
    <r>
      <rPr>
        <sz val="8"/>
        <rFont val="Symbol"/>
        <family val="1"/>
        <charset val="2"/>
      </rPr>
      <t>g</t>
    </r>
    <r>
      <rPr>
        <sz val="8"/>
        <rFont val="Arial Narrow"/>
        <family val="2"/>
      </rPr>
      <t xml:space="preserve"> &amp; fr.</t>
    </r>
  </si>
  <si>
    <t>Gap between coils</t>
  </si>
  <si>
    <r>
      <t xml:space="preserve">Max.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T</t>
    </r>
    <r>
      <rPr>
        <vertAlign val="subscript"/>
        <sz val="8"/>
        <rFont val="Arial Narrow"/>
        <family val="2"/>
      </rPr>
      <t>bulk</t>
    </r>
    <r>
      <rPr>
        <sz val="8"/>
        <rFont val="Arial Narrow"/>
        <family val="2"/>
      </rPr>
      <t xml:space="preserve"> [</t>
    </r>
    <r>
      <rPr>
        <vertAlign val="superscript"/>
        <sz val="8"/>
        <rFont val="Arial Narrow"/>
        <family val="2"/>
      </rPr>
      <t>o</t>
    </r>
    <r>
      <rPr>
        <sz val="8"/>
        <rFont val="Arial Narrow"/>
        <family val="2"/>
      </rPr>
      <t>C]</t>
    </r>
  </si>
  <si>
    <r>
      <t>SC cur. dens. [A/mm</t>
    </r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>]</t>
    </r>
  </si>
  <si>
    <t>Layers of hollow conductor</t>
  </si>
  <si>
    <r>
      <t xml:space="preserve">SC </t>
    </r>
    <r>
      <rPr>
        <sz val="8"/>
        <rFont val="Symbol"/>
        <family val="1"/>
        <charset val="2"/>
      </rPr>
      <t>g</t>
    </r>
    <r>
      <rPr>
        <sz val="8"/>
        <rFont val="Arial Narrow"/>
        <family val="2"/>
      </rPr>
      <t>, MPa &amp; fr.</t>
    </r>
  </si>
  <si>
    <r>
      <t xml:space="preserve">Cu </t>
    </r>
    <r>
      <rPr>
        <sz val="8"/>
        <rFont val="Symbol"/>
        <family val="1"/>
        <charset val="2"/>
      </rPr>
      <t>g</t>
    </r>
    <r>
      <rPr>
        <sz val="8"/>
        <rFont val="Arial Narrow"/>
        <family val="2"/>
      </rPr>
      <t>, MPa &amp; fr.</t>
    </r>
  </si>
  <si>
    <r>
      <t xml:space="preserve">SSt </t>
    </r>
    <r>
      <rPr>
        <sz val="8"/>
        <rFont val="Symbol"/>
        <family val="1"/>
        <charset val="2"/>
      </rPr>
      <t>g</t>
    </r>
    <r>
      <rPr>
        <sz val="8"/>
        <rFont val="Arial Narrow"/>
        <family val="2"/>
      </rPr>
      <t>, MPa &amp; fr.</t>
    </r>
  </si>
  <si>
    <t>SSt cm &amp; SC M$</t>
  </si>
  <si>
    <r>
      <t xml:space="preserve">Wrap press. </t>
    </r>
    <r>
      <rPr>
        <sz val="8"/>
        <rFont val="Calibri"/>
        <family val="2"/>
      </rPr>
      <t>σ</t>
    </r>
    <r>
      <rPr>
        <vertAlign val="subscript"/>
        <sz val="8"/>
        <rFont val="Arial Narrow"/>
        <family val="2"/>
      </rPr>
      <t>r</t>
    </r>
  </si>
  <si>
    <t>Coil tons</t>
  </si>
  <si>
    <t>Est .peak isotropic stress</t>
  </si>
  <si>
    <t>Maximum on-axis field</t>
  </si>
  <si>
    <t>Strain correction factor</t>
  </si>
  <si>
    <t>Constraints on coil dimensions</t>
  </si>
  <si>
    <t>Upstream end</t>
  </si>
  <si>
    <t>Downstream end</t>
  </si>
  <si>
    <t>M$ at $400/kg</t>
  </si>
  <si>
    <r>
      <t>B</t>
    </r>
    <r>
      <rPr>
        <vertAlign val="subscript"/>
        <sz val="8"/>
        <rFont val="Arial Narrow"/>
        <family val="2"/>
      </rPr>
      <t>SC#1</t>
    </r>
  </si>
  <si>
    <r>
      <t xml:space="preserve">Errror in hot spot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T  [°C]</t>
    </r>
  </si>
  <si>
    <r>
      <rPr>
        <sz val="8"/>
        <rFont val="Calibri"/>
        <family val="2"/>
      </rPr>
      <t>∆</t>
    </r>
    <r>
      <rPr>
        <sz val="8"/>
        <rFont val="Arial Narrow"/>
        <family val="2"/>
      </rPr>
      <t>B/B [%]</t>
    </r>
  </si>
  <si>
    <t>%</t>
  </si>
  <si>
    <t>lit/s</t>
  </si>
  <si>
    <t>paths per layer</t>
  </si>
  <si>
    <r>
      <t>n</t>
    </r>
    <r>
      <rPr>
        <sz val="8"/>
        <rFont val="Symbol"/>
        <family val="1"/>
        <charset val="2"/>
      </rPr>
      <t>W</t>
    </r>
    <r>
      <rPr>
        <sz val="8"/>
        <rFont val="Arial Narrow"/>
        <family val="2"/>
      </rPr>
      <t>cm/°</t>
    </r>
  </si>
  <si>
    <r>
      <t xml:space="preserve">atm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P</t>
    </r>
  </si>
  <si>
    <r>
      <t xml:space="preserve">m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L</t>
    </r>
    <r>
      <rPr>
        <vertAlign val="subscript"/>
        <sz val="8"/>
        <rFont val="Arial Narrow"/>
        <family val="2"/>
      </rPr>
      <t>elec</t>
    </r>
  </si>
  <si>
    <r>
      <t xml:space="preserve">m </t>
    </r>
    <r>
      <rPr>
        <sz val="8"/>
        <rFont val="Symbol"/>
        <family val="1"/>
        <charset val="2"/>
      </rPr>
      <t>D</t>
    </r>
    <r>
      <rPr>
        <sz val="8"/>
        <rFont val="Arial Narrow"/>
        <family val="2"/>
      </rPr>
      <t>L</t>
    </r>
    <r>
      <rPr>
        <vertAlign val="subscript"/>
        <sz val="8"/>
        <rFont val="Arial Narrow"/>
        <family val="2"/>
      </rPr>
      <t>hyd</t>
    </r>
  </si>
  <si>
    <t>Cu #1</t>
  </si>
  <si>
    <t>SC #1</t>
  </si>
  <si>
    <t>Cu #2</t>
  </si>
  <si>
    <t>Cu #3</t>
  </si>
  <si>
    <t>Cu #4</t>
  </si>
  <si>
    <t>Cu #5</t>
  </si>
  <si>
    <t>SC #2</t>
  </si>
  <si>
    <t>SC #3</t>
  </si>
  <si>
    <t>SC #4</t>
  </si>
  <si>
    <t>SC #5</t>
  </si>
  <si>
    <t>SC #6</t>
  </si>
  <si>
    <t>SC #7</t>
  </si>
  <si>
    <t>SC #8</t>
  </si>
  <si>
    <t>SC #9</t>
  </si>
  <si>
    <t>SC #10</t>
  </si>
  <si>
    <t>SC #11</t>
  </si>
  <si>
    <t>SC #12</t>
  </si>
  <si>
    <t>SC #13</t>
  </si>
  <si>
    <t>Ratio of conductor size</t>
  </si>
  <si>
    <t>JHF</t>
  </si>
  <si>
    <t>Axial breadth of cooling hole</t>
  </si>
  <si>
    <t>Optimized breadth of cooling hole</t>
  </si>
  <si>
    <t>Radial depth of cooling hole</t>
  </si>
  <si>
    <t>Optimized depth of cooling hole</t>
  </si>
  <si>
    <t>Min. corner radius of conductor</t>
  </si>
  <si>
    <t>Radial thickness of insulation</t>
  </si>
  <si>
    <t>Axial thickness of insulation</t>
  </si>
  <si>
    <t>Radial build of insulated conductor</t>
  </si>
  <si>
    <t>Axial width of insulated conductor</t>
  </si>
  <si>
    <r>
      <t>mW</t>
    </r>
    <r>
      <rPr>
        <sz val="8"/>
        <rFont val="Arial Narrow"/>
        <family val="2"/>
      </rPr>
      <t>cm</t>
    </r>
  </si>
  <si>
    <t>Aspect ratio, ∆z/∆r</t>
  </si>
  <si>
    <t xml:space="preserve">- - </t>
  </si>
  <si>
    <t>Radial thickness of sheath</t>
  </si>
  <si>
    <t>Axial thickness of sheath</t>
  </si>
  <si>
    <t>Radial build of sheathed conductor</t>
  </si>
  <si>
    <t>Axial width of sheathed conductor</t>
  </si>
  <si>
    <t>Conductor length per coil &amp; magnet</t>
  </si>
  <si>
    <t>Cross section of cooling hole</t>
  </si>
  <si>
    <t>Cross section of conductor</t>
  </si>
  <si>
    <t>Cross section of insulation</t>
  </si>
  <si>
    <t>Cross section of sheath</t>
  </si>
  <si>
    <t>Cross section of void</t>
  </si>
  <si>
    <t>Cross section of SS per turn</t>
  </si>
  <si>
    <t>Percent cooling</t>
  </si>
  <si>
    <t>Percent coonductor</t>
  </si>
  <si>
    <t>Percent insulation</t>
  </si>
  <si>
    <t>Percent SS</t>
  </si>
  <si>
    <t>Percent void</t>
  </si>
  <si>
    <t>Percent sheath</t>
  </si>
  <si>
    <r>
      <t>Current density j</t>
    </r>
    <r>
      <rPr>
        <sz val="8"/>
        <rFont val="Symbol"/>
        <family val="1"/>
        <charset val="2"/>
      </rPr>
      <t>l</t>
    </r>
    <r>
      <rPr>
        <vertAlign val="subscript"/>
        <sz val="8"/>
        <rFont val="Arial Narrow"/>
        <family val="2"/>
      </rPr>
      <t>coil</t>
    </r>
    <r>
      <rPr>
        <sz val="8"/>
        <rFont val="Arial Narrow"/>
        <family val="2"/>
      </rPr>
      <t xml:space="preserve"> w.o. SS shelll</t>
    </r>
  </si>
  <si>
    <r>
      <t>Current density j</t>
    </r>
    <r>
      <rPr>
        <sz val="8"/>
        <rFont val="Symbol"/>
        <family val="1"/>
        <charset val="2"/>
      </rPr>
      <t>l</t>
    </r>
    <r>
      <rPr>
        <vertAlign val="subscript"/>
        <sz val="8"/>
        <rFont val="Arial Narrow"/>
        <family val="2"/>
      </rPr>
      <t>coil</t>
    </r>
    <r>
      <rPr>
        <sz val="8"/>
        <rFont val="Arial Narrow"/>
        <family val="2"/>
      </rPr>
      <t xml:space="preserve"> with SS shelll</t>
    </r>
  </si>
  <si>
    <t>Estimated thickness of SS shell</t>
  </si>
  <si>
    <t>Length of solenoid</t>
  </si>
  <si>
    <t>Turns/layer; ends</t>
  </si>
  <si>
    <t>Radial depth of windings</t>
  </si>
  <si>
    <t>Outer radius w.o. SS shell</t>
  </si>
  <si>
    <t>Outer radius with SS shell</t>
  </si>
  <si>
    <t>Cross section of turn &amp; shell</t>
  </si>
  <si>
    <t>X-section of turn inc. voids</t>
  </si>
  <si>
    <t>Hydraulic diameter</t>
  </si>
</sst>
</file>

<file path=xl/styles.xml><?xml version="1.0" encoding="utf-8"?>
<styleSheet xmlns="http://schemas.openxmlformats.org/spreadsheetml/2006/main">
  <numFmts count="8">
    <numFmt numFmtId="164" formatCode="0.000"/>
    <numFmt numFmtId="165" formatCode="0.0"/>
    <numFmt numFmtId="166" formatCode="&quot;$&quot;#,##0.00"/>
    <numFmt numFmtId="167" formatCode="&quot;$&quot;#,##0.0"/>
    <numFmt numFmtId="168" formatCode="&quot;$&quot;#,##0.000"/>
    <numFmt numFmtId="169" formatCode="&quot;$&quot;#,##0"/>
    <numFmt numFmtId="170" formatCode="0.0000"/>
    <numFmt numFmtId="171" formatCode="0.00000"/>
  </numFmts>
  <fonts count="16">
    <font>
      <sz val="10"/>
      <name val="Arial"/>
    </font>
    <font>
      <sz val="8"/>
      <name val="Arial Narrow"/>
      <family val="2"/>
    </font>
    <font>
      <sz val="8"/>
      <name val="Symbol"/>
      <family val="1"/>
      <charset val="2"/>
    </font>
    <font>
      <vertAlign val="superscript"/>
      <sz val="8"/>
      <name val="Arial Narrow"/>
      <family val="2"/>
    </font>
    <font>
      <b/>
      <sz val="8"/>
      <name val="Arial Narrow"/>
      <family val="2"/>
    </font>
    <font>
      <vertAlign val="subscript"/>
      <sz val="8"/>
      <name val="Arial Narrow"/>
      <family val="2"/>
    </font>
    <font>
      <b/>
      <i/>
      <sz val="8"/>
      <name val="Arial Narrow"/>
      <family val="2"/>
    </font>
    <font>
      <sz val="8"/>
      <name val="Calibri"/>
      <family val="2"/>
    </font>
    <font>
      <b/>
      <u/>
      <sz val="8"/>
      <name val="Arial Narrow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8"/>
      <color rgb="FFFF0000"/>
      <name val="Arial Narrow"/>
      <family val="2"/>
    </font>
    <font>
      <u/>
      <sz val="8"/>
      <name val="Arial Narrow"/>
      <family val="2"/>
    </font>
    <font>
      <b/>
      <i/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b/>
      <u/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9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2" fontId="0" fillId="0" borderId="3" xfId="0" applyNumberFormat="1" applyFill="1" applyBorder="1" applyAlignment="1"/>
    <xf numFmtId="164" fontId="0" fillId="0" borderId="3" xfId="0" applyNumberFormat="1" applyFill="1" applyBorder="1" applyAlignment="1"/>
    <xf numFmtId="165" fontId="0" fillId="0" borderId="3" xfId="0" applyNumberFormat="1" applyFill="1" applyBorder="1" applyAlignment="1"/>
    <xf numFmtId="165" fontId="0" fillId="0" borderId="4" xfId="0" applyNumberForma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vertical="center"/>
    </xf>
    <xf numFmtId="2" fontId="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71" fontId="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2" fontId="1" fillId="0" borderId="0" xfId="0" quotePrefix="1" applyNumberFormat="1" applyFont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quotePrefix="1" applyNumberFormat="1" applyFont="1" applyAlignment="1">
      <alignment horizontal="center" vertical="center"/>
    </xf>
    <xf numFmtId="164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$@$400/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showGridLines="0" topLeftCell="A32" workbookViewId="0">
      <selection sqref="A1:A3"/>
    </sheetView>
  </sheetViews>
  <sheetFormatPr defaultRowHeight="12.75"/>
  <cols>
    <col min="1" max="1" width="2.28515625" customWidth="1"/>
    <col min="2" max="2" width="7.5703125" bestFit="1" customWidth="1"/>
    <col min="3" max="3" width="38.5703125" bestFit="1" customWidth="1"/>
    <col min="4" max="4" width="6.28515625" customWidth="1"/>
    <col min="5" max="5" width="9" customWidth="1"/>
  </cols>
  <sheetData>
    <row r="1" spans="1:5">
      <c r="A1" s="26" t="s">
        <v>61</v>
      </c>
    </row>
    <row r="2" spans="1:5">
      <c r="A2" s="26" t="s">
        <v>62</v>
      </c>
    </row>
    <row r="3" spans="1:5">
      <c r="A3" s="26" t="s">
        <v>63</v>
      </c>
    </row>
    <row r="6" spans="1:5" ht="13.5" thickBot="1">
      <c r="A6" t="s">
        <v>64</v>
      </c>
    </row>
    <row r="7" spans="1:5">
      <c r="B7" s="29"/>
      <c r="C7" s="29"/>
      <c r="D7" s="29" t="s">
        <v>67</v>
      </c>
      <c r="E7" s="29" t="s">
        <v>69</v>
      </c>
    </row>
    <row r="8" spans="1:5" ht="13.5" thickBot="1">
      <c r="B8" s="30" t="s">
        <v>65</v>
      </c>
      <c r="C8" s="30" t="s">
        <v>66</v>
      </c>
      <c r="D8" s="30" t="s">
        <v>68</v>
      </c>
      <c r="E8" s="30" t="s">
        <v>70</v>
      </c>
    </row>
    <row r="9" spans="1:5">
      <c r="B9" s="27" t="s">
        <v>73</v>
      </c>
      <c r="C9" s="27" t="s">
        <v>17</v>
      </c>
      <c r="D9" s="31">
        <v>15.71389659268177</v>
      </c>
      <c r="E9" s="31">
        <v>0</v>
      </c>
    </row>
    <row r="10" spans="1:5">
      <c r="B10" s="27" t="s">
        <v>74</v>
      </c>
      <c r="C10" s="27" t="s">
        <v>75</v>
      </c>
      <c r="D10" s="32">
        <v>2.1440225663527204</v>
      </c>
      <c r="E10" s="32">
        <v>0</v>
      </c>
    </row>
    <row r="11" spans="1:5">
      <c r="B11" s="27" t="s">
        <v>76</v>
      </c>
      <c r="C11" s="27" t="s">
        <v>2</v>
      </c>
      <c r="D11" s="32">
        <v>2.4216566630874228</v>
      </c>
      <c r="E11" s="32">
        <v>0</v>
      </c>
    </row>
    <row r="12" spans="1:5">
      <c r="B12" s="27" t="s">
        <v>77</v>
      </c>
      <c r="C12" s="27" t="s">
        <v>2</v>
      </c>
      <c r="D12" s="32">
        <v>2.5683412152730742</v>
      </c>
      <c r="E12" s="32">
        <v>0</v>
      </c>
    </row>
    <row r="13" spans="1:5">
      <c r="B13" s="27" t="s">
        <v>78</v>
      </c>
      <c r="C13" s="27" t="s">
        <v>79</v>
      </c>
      <c r="D13" s="32">
        <v>2.9501181084557389</v>
      </c>
      <c r="E13" s="32">
        <v>0</v>
      </c>
    </row>
    <row r="14" spans="1:5">
      <c r="B14" s="27" t="s">
        <v>80</v>
      </c>
      <c r="C14" s="27" t="s">
        <v>53</v>
      </c>
      <c r="D14" s="32">
        <v>0.49682474574024837</v>
      </c>
      <c r="E14" s="32">
        <v>0</v>
      </c>
    </row>
    <row r="15" spans="1:5">
      <c r="B15" s="27" t="s">
        <v>81</v>
      </c>
      <c r="C15" s="27" t="s">
        <v>82</v>
      </c>
      <c r="D15" s="32">
        <v>0.40478271782841613</v>
      </c>
      <c r="E15" s="32">
        <v>0</v>
      </c>
    </row>
    <row r="16" spans="1:5">
      <c r="B16" s="27" t="s">
        <v>83</v>
      </c>
      <c r="C16" s="27" t="s">
        <v>53</v>
      </c>
      <c r="D16" s="32">
        <v>0.36113419296529081</v>
      </c>
      <c r="E16" s="32">
        <v>0</v>
      </c>
    </row>
    <row r="17" spans="2:5">
      <c r="B17" s="27" t="s">
        <v>84</v>
      </c>
      <c r="C17" s="27" t="s">
        <v>53</v>
      </c>
      <c r="D17" s="32">
        <v>0.40150702092175461</v>
      </c>
      <c r="E17" s="32">
        <v>0</v>
      </c>
    </row>
    <row r="18" spans="2:5">
      <c r="B18" s="27" t="s">
        <v>85</v>
      </c>
      <c r="C18" s="27" t="s">
        <v>86</v>
      </c>
      <c r="D18" s="32">
        <v>0.24956088008164742</v>
      </c>
      <c r="E18" s="32">
        <v>0</v>
      </c>
    </row>
    <row r="19" spans="2:5">
      <c r="B19" s="27" t="s">
        <v>87</v>
      </c>
      <c r="C19" s="27" t="s">
        <v>88</v>
      </c>
      <c r="D19" s="32">
        <v>2.3189326553314475</v>
      </c>
      <c r="E19" s="32">
        <v>0</v>
      </c>
    </row>
    <row r="20" spans="2:5">
      <c r="B20" s="27" t="s">
        <v>89</v>
      </c>
      <c r="C20" s="27" t="s">
        <v>88</v>
      </c>
      <c r="D20" s="32">
        <v>2.2193380437776309</v>
      </c>
      <c r="E20" s="32">
        <v>0</v>
      </c>
    </row>
    <row r="21" spans="2:5">
      <c r="B21" s="27" t="s">
        <v>90</v>
      </c>
      <c r="C21" s="27" t="s">
        <v>91</v>
      </c>
      <c r="D21" s="32">
        <v>2.9038349125779805</v>
      </c>
      <c r="E21" s="32">
        <v>0</v>
      </c>
    </row>
    <row r="22" spans="2:5">
      <c r="B22" s="27" t="s">
        <v>92</v>
      </c>
      <c r="C22" s="27" t="s">
        <v>88</v>
      </c>
      <c r="D22" s="32">
        <v>3.4839589894669536</v>
      </c>
      <c r="E22" s="32">
        <v>0</v>
      </c>
    </row>
    <row r="23" spans="2:5">
      <c r="B23" s="27" t="s">
        <v>93</v>
      </c>
      <c r="C23" s="27" t="s">
        <v>88</v>
      </c>
      <c r="D23" s="32">
        <v>3.3963871968231421</v>
      </c>
      <c r="E23" s="32">
        <v>0</v>
      </c>
    </row>
    <row r="24" spans="2:5">
      <c r="B24" s="27" t="s">
        <v>94</v>
      </c>
      <c r="C24" s="27" t="s">
        <v>95</v>
      </c>
      <c r="D24" s="32">
        <v>3.745744375317468</v>
      </c>
      <c r="E24" s="32">
        <v>0</v>
      </c>
    </row>
    <row r="25" spans="2:5">
      <c r="B25" s="27" t="s">
        <v>96</v>
      </c>
      <c r="C25" s="27" t="s">
        <v>97</v>
      </c>
      <c r="D25" s="33">
        <v>121.31935608966978</v>
      </c>
      <c r="E25" s="33">
        <v>0</v>
      </c>
    </row>
    <row r="26" spans="2:5">
      <c r="B26" s="27" t="s">
        <v>98</v>
      </c>
      <c r="C26" s="27" t="s">
        <v>99</v>
      </c>
      <c r="D26" s="33">
        <v>207.8974773043424</v>
      </c>
      <c r="E26" s="33">
        <v>0</v>
      </c>
    </row>
    <row r="27" spans="2:5">
      <c r="B27" s="27" t="s">
        <v>100</v>
      </c>
      <c r="C27" s="27" t="s">
        <v>97</v>
      </c>
      <c r="D27" s="33">
        <v>260</v>
      </c>
      <c r="E27" s="33">
        <v>0</v>
      </c>
    </row>
    <row r="28" spans="2:5">
      <c r="B28" s="27" t="s">
        <v>101</v>
      </c>
      <c r="C28" s="27" t="s">
        <v>97</v>
      </c>
      <c r="D28" s="33">
        <v>281.72897107443873</v>
      </c>
      <c r="E28" s="33">
        <v>0</v>
      </c>
    </row>
    <row r="29" spans="2:5">
      <c r="B29" s="27" t="s">
        <v>102</v>
      </c>
      <c r="C29" s="27" t="s">
        <v>103</v>
      </c>
      <c r="D29" s="33">
        <v>335.59174119154085</v>
      </c>
      <c r="E29" s="33">
        <v>0</v>
      </c>
    </row>
    <row r="30" spans="2:5">
      <c r="B30" s="27" t="s">
        <v>104</v>
      </c>
      <c r="C30" s="27" t="s">
        <v>97</v>
      </c>
      <c r="D30" s="33">
        <v>188.26760471880635</v>
      </c>
      <c r="E30" s="33">
        <v>0</v>
      </c>
    </row>
    <row r="31" spans="2:5">
      <c r="B31" s="27" t="s">
        <v>105</v>
      </c>
      <c r="C31" s="27" t="s">
        <v>97</v>
      </c>
      <c r="D31" s="33">
        <v>103.83055338515733</v>
      </c>
      <c r="E31" s="33">
        <v>0</v>
      </c>
    </row>
    <row r="32" spans="2:5">
      <c r="B32" s="27" t="s">
        <v>106</v>
      </c>
      <c r="C32" s="27" t="s">
        <v>107</v>
      </c>
      <c r="D32" s="33">
        <v>237.40575559257996</v>
      </c>
      <c r="E32" s="33">
        <v>0</v>
      </c>
    </row>
    <row r="33" spans="2:5">
      <c r="B33" s="27" t="s">
        <v>108</v>
      </c>
      <c r="C33" s="27" t="s">
        <v>49</v>
      </c>
      <c r="D33" s="33">
        <v>-102.31380601401177</v>
      </c>
      <c r="E33" s="33">
        <v>0</v>
      </c>
    </row>
    <row r="34" spans="2:5">
      <c r="B34" s="27" t="s">
        <v>109</v>
      </c>
      <c r="C34" s="27" t="s">
        <v>110</v>
      </c>
      <c r="D34" s="33">
        <v>-133.72398020851418</v>
      </c>
      <c r="E34" s="33">
        <v>0</v>
      </c>
    </row>
    <row r="35" spans="2:5">
      <c r="B35" s="27" t="s">
        <v>111</v>
      </c>
      <c r="C35" s="27" t="s">
        <v>49</v>
      </c>
      <c r="D35" s="33">
        <v>-151.07156675779862</v>
      </c>
      <c r="E35" s="33">
        <v>0</v>
      </c>
    </row>
    <row r="36" spans="2:5">
      <c r="B36" s="27" t="s">
        <v>112</v>
      </c>
      <c r="C36" s="27" t="s">
        <v>49</v>
      </c>
      <c r="D36" s="33">
        <v>-151.47474513021126</v>
      </c>
      <c r="E36" s="33">
        <v>0</v>
      </c>
    </row>
    <row r="37" spans="2:5">
      <c r="B37" s="27" t="s">
        <v>113</v>
      </c>
      <c r="C37" s="27" t="s">
        <v>114</v>
      </c>
      <c r="D37" s="33">
        <v>-179.36503267754242</v>
      </c>
      <c r="E37" s="33">
        <v>0</v>
      </c>
    </row>
    <row r="38" spans="2:5">
      <c r="B38" s="27" t="s">
        <v>115</v>
      </c>
      <c r="C38" s="27" t="s">
        <v>97</v>
      </c>
      <c r="D38" s="31">
        <v>61.544772047214948</v>
      </c>
      <c r="E38" s="31">
        <v>0</v>
      </c>
    </row>
    <row r="39" spans="2:5">
      <c r="B39" s="27" t="s">
        <v>116</v>
      </c>
      <c r="C39" s="27" t="s">
        <v>97</v>
      </c>
      <c r="D39" s="31">
        <v>63.081014715003377</v>
      </c>
      <c r="E39" s="31">
        <v>0</v>
      </c>
    </row>
    <row r="40" spans="2:5">
      <c r="B40" s="27" t="s">
        <v>117</v>
      </c>
      <c r="C40" s="27" t="s">
        <v>107</v>
      </c>
      <c r="D40" s="31">
        <v>38.50351276327283</v>
      </c>
      <c r="E40" s="31">
        <v>0</v>
      </c>
    </row>
    <row r="41" spans="2:5">
      <c r="B41" s="27" t="s">
        <v>118</v>
      </c>
      <c r="C41" s="27" t="s">
        <v>97</v>
      </c>
      <c r="D41" s="31">
        <v>1.6001734888153964</v>
      </c>
      <c r="E41" s="31">
        <v>0</v>
      </c>
    </row>
    <row r="42" spans="2:5">
      <c r="B42" s="27" t="s">
        <v>119</v>
      </c>
      <c r="C42" s="27" t="s">
        <v>97</v>
      </c>
      <c r="D42" s="31">
        <v>22.283535931607734</v>
      </c>
      <c r="E42" s="31">
        <v>0</v>
      </c>
    </row>
    <row r="43" spans="2:5">
      <c r="B43" s="27" t="s">
        <v>120</v>
      </c>
      <c r="C43" s="27" t="s">
        <v>121</v>
      </c>
      <c r="D43" s="31">
        <v>5.701972154224241</v>
      </c>
      <c r="E43" s="31">
        <v>0</v>
      </c>
    </row>
    <row r="44" spans="2:5">
      <c r="B44" s="27" t="s">
        <v>122</v>
      </c>
      <c r="C44" s="27" t="s">
        <v>97</v>
      </c>
      <c r="D44" s="31">
        <v>3.0395557681902949</v>
      </c>
      <c r="E44" s="31">
        <v>0</v>
      </c>
    </row>
    <row r="45" spans="2:5">
      <c r="B45" s="27" t="s">
        <v>123</v>
      </c>
      <c r="C45" s="27" t="s">
        <v>124</v>
      </c>
      <c r="D45" s="31">
        <v>8.7466361073024395</v>
      </c>
      <c r="E45" s="31">
        <v>0</v>
      </c>
    </row>
    <row r="46" spans="2:5">
      <c r="B46" s="27" t="s">
        <v>125</v>
      </c>
      <c r="C46" s="27" t="s">
        <v>97</v>
      </c>
      <c r="D46" s="31">
        <v>4.7184000781136088</v>
      </c>
      <c r="E46" s="31">
        <v>0</v>
      </c>
    </row>
    <row r="47" spans="2:5">
      <c r="B47" s="27" t="s">
        <v>126</v>
      </c>
      <c r="C47" s="27" t="s">
        <v>97</v>
      </c>
      <c r="D47" s="31">
        <v>4.9824978730753386</v>
      </c>
      <c r="E47" s="31">
        <v>0</v>
      </c>
    </row>
    <row r="48" spans="2:5">
      <c r="B48" s="27" t="s">
        <v>127</v>
      </c>
      <c r="C48" s="27" t="s">
        <v>128</v>
      </c>
      <c r="D48" s="31">
        <v>4.8097790950647639</v>
      </c>
      <c r="E48" s="31">
        <v>0</v>
      </c>
    </row>
    <row r="49" spans="1:5">
      <c r="B49" s="27" t="s">
        <v>129</v>
      </c>
      <c r="C49" s="27" t="s">
        <v>97</v>
      </c>
      <c r="D49" s="31">
        <v>4.2921463944671281</v>
      </c>
      <c r="E49" s="31">
        <v>0</v>
      </c>
    </row>
    <row r="50" spans="1:5">
      <c r="B50" s="27" t="s">
        <v>130</v>
      </c>
      <c r="C50" s="27" t="s">
        <v>97</v>
      </c>
      <c r="D50" s="31">
        <v>4.1404257150325856</v>
      </c>
      <c r="E50" s="31">
        <v>0</v>
      </c>
    </row>
    <row r="51" spans="1:5">
      <c r="B51" s="27" t="s">
        <v>131</v>
      </c>
      <c r="C51" s="27" t="s">
        <v>97</v>
      </c>
      <c r="D51" s="31">
        <v>3.9065429029208536</v>
      </c>
      <c r="E51" s="31">
        <v>0</v>
      </c>
    </row>
    <row r="52" spans="1:5">
      <c r="B52" s="27" t="s">
        <v>132</v>
      </c>
      <c r="C52" s="27" t="s">
        <v>97</v>
      </c>
      <c r="D52" s="31">
        <v>3.6590707094294239</v>
      </c>
      <c r="E52" s="31">
        <v>0</v>
      </c>
    </row>
    <row r="53" spans="1:5">
      <c r="B53" s="27" t="s">
        <v>133</v>
      </c>
      <c r="C53" s="27" t="s">
        <v>97</v>
      </c>
      <c r="D53" s="31">
        <v>3.5554603951097361</v>
      </c>
      <c r="E53" s="31">
        <v>0</v>
      </c>
    </row>
    <row r="54" spans="1:5">
      <c r="B54" s="27" t="s">
        <v>134</v>
      </c>
      <c r="C54" s="27" t="s">
        <v>97</v>
      </c>
      <c r="D54" s="31">
        <v>3.4435125648107481</v>
      </c>
      <c r="E54" s="31">
        <v>0</v>
      </c>
    </row>
    <row r="55" spans="1:5">
      <c r="B55" s="27" t="s">
        <v>135</v>
      </c>
      <c r="C55" s="27" t="s">
        <v>97</v>
      </c>
      <c r="D55" s="31">
        <v>3.4779995272313924</v>
      </c>
      <c r="E55" s="31">
        <v>0</v>
      </c>
    </row>
    <row r="56" spans="1:5">
      <c r="B56" s="27" t="s">
        <v>136</v>
      </c>
      <c r="C56" s="27" t="s">
        <v>97</v>
      </c>
      <c r="D56" s="31">
        <v>3.224168851888598</v>
      </c>
      <c r="E56" s="31">
        <v>0</v>
      </c>
    </row>
    <row r="57" spans="1:5">
      <c r="B57" s="27" t="s">
        <v>137</v>
      </c>
      <c r="C57" s="27" t="s">
        <v>138</v>
      </c>
      <c r="D57" s="33">
        <v>58.939521169126316</v>
      </c>
      <c r="E57" s="33">
        <v>0</v>
      </c>
    </row>
    <row r="58" spans="1:5">
      <c r="B58" s="27" t="s">
        <v>139</v>
      </c>
      <c r="C58" s="27" t="s">
        <v>140</v>
      </c>
      <c r="D58" s="33">
        <v>55.717500580817052</v>
      </c>
      <c r="E58" s="33">
        <v>0</v>
      </c>
    </row>
    <row r="59" spans="1:5">
      <c r="B59" s="27" t="s">
        <v>141</v>
      </c>
      <c r="C59" s="27" t="s">
        <v>138</v>
      </c>
      <c r="D59" s="33">
        <v>50.860002006743777</v>
      </c>
      <c r="E59" s="33">
        <v>0</v>
      </c>
    </row>
    <row r="60" spans="1:5">
      <c r="B60" s="27" t="s">
        <v>142</v>
      </c>
      <c r="C60" s="27" t="s">
        <v>138</v>
      </c>
      <c r="D60" s="33">
        <v>50.104781481143227</v>
      </c>
      <c r="E60" s="33">
        <v>0</v>
      </c>
    </row>
    <row r="61" spans="1:5" ht="13.5" thickBot="1">
      <c r="B61" s="28" t="s">
        <v>143</v>
      </c>
      <c r="C61" s="28" t="s">
        <v>144</v>
      </c>
      <c r="D61" s="34">
        <v>38.117343591789009</v>
      </c>
      <c r="E61" s="34">
        <v>0</v>
      </c>
    </row>
    <row r="63" spans="1:5">
      <c r="A63" t="s">
        <v>71</v>
      </c>
    </row>
    <row r="64" spans="1:5">
      <c r="B64" t="s">
        <v>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8"/>
  <sheetViews>
    <sheetView tabSelected="1" zoomScaleNormal="100" workbookViewId="0">
      <selection activeCell="F36" sqref="F36:F43"/>
    </sheetView>
  </sheetViews>
  <sheetFormatPr defaultRowHeight="12.75"/>
  <cols>
    <col min="1" max="28" width="5.7109375" customWidth="1"/>
  </cols>
  <sheetData>
    <row r="1" spans="1:24" ht="13.5" customHeight="1">
      <c r="A1" s="95">
        <f>SUM(E5,F29,F32,F59,F60,E78,(E60+E63+F63)/10,F88,F89,F90,G91,Z135,AB135)+100*SUMSQ(D91+$C$1-$B$1-0.005,E91-$C$1,2*(F91-$B$1-0.005),Y133,Y134,Y135)</f>
        <v>28.552566571470649</v>
      </c>
      <c r="B1" s="14">
        <v>20</v>
      </c>
      <c r="C1" s="14">
        <v>5</v>
      </c>
      <c r="D1" s="14">
        <v>2</v>
      </c>
      <c r="E1" s="20" t="s">
        <v>149</v>
      </c>
      <c r="F1" s="93">
        <v>100</v>
      </c>
      <c r="G1" s="93">
        <v>500</v>
      </c>
      <c r="H1" s="93">
        <v>700</v>
      </c>
      <c r="I1" s="20" t="s">
        <v>40</v>
      </c>
      <c r="J1" s="14">
        <v>16</v>
      </c>
      <c r="K1" s="2">
        <v>30</v>
      </c>
      <c r="L1" s="20" t="s">
        <v>2</v>
      </c>
      <c r="M1" s="14">
        <v>0.1</v>
      </c>
      <c r="N1" s="89" t="s">
        <v>177</v>
      </c>
      <c r="O1" s="11">
        <v>1.724</v>
      </c>
      <c r="P1" s="92" t="s">
        <v>208</v>
      </c>
      <c r="Q1" s="14">
        <v>7</v>
      </c>
      <c r="R1" s="15" t="s">
        <v>175</v>
      </c>
      <c r="S1" s="14">
        <v>10</v>
      </c>
      <c r="T1" s="16" t="s">
        <v>31</v>
      </c>
      <c r="U1" s="14">
        <v>40</v>
      </c>
      <c r="V1" s="15" t="s">
        <v>176</v>
      </c>
      <c r="W1" s="13">
        <v>0.1</v>
      </c>
      <c r="X1" s="12" t="s">
        <v>178</v>
      </c>
    </row>
    <row r="2" spans="1:24" ht="13.5" customHeight="1">
      <c r="B2" s="98"/>
      <c r="C2" s="105">
        <v>24.667043822729781</v>
      </c>
      <c r="D2" s="12" t="s">
        <v>0</v>
      </c>
      <c r="E2" s="89" t="s">
        <v>1</v>
      </c>
      <c r="F2" s="2" t="s">
        <v>198</v>
      </c>
      <c r="G2" s="17" t="s">
        <v>179</v>
      </c>
      <c r="H2" s="17" t="s">
        <v>181</v>
      </c>
      <c r="I2" s="17" t="s">
        <v>182</v>
      </c>
      <c r="J2" s="17" t="s">
        <v>183</v>
      </c>
      <c r="K2" s="17" t="s">
        <v>184</v>
      </c>
      <c r="L2" s="17" t="s">
        <v>180</v>
      </c>
      <c r="M2" s="17" t="s">
        <v>185</v>
      </c>
      <c r="N2" s="17" t="s">
        <v>186</v>
      </c>
      <c r="O2" s="17" t="s">
        <v>187</v>
      </c>
      <c r="P2" s="17" t="s">
        <v>188</v>
      </c>
      <c r="Q2" s="17" t="s">
        <v>189</v>
      </c>
      <c r="R2" s="17" t="s">
        <v>190</v>
      </c>
      <c r="S2" s="17" t="s">
        <v>191</v>
      </c>
      <c r="T2" s="17" t="s">
        <v>192</v>
      </c>
      <c r="U2" s="17" t="s">
        <v>193</v>
      </c>
      <c r="V2" s="17" t="s">
        <v>194</v>
      </c>
      <c r="W2" s="17" t="s">
        <v>195</v>
      </c>
      <c r="X2" s="17" t="s">
        <v>196</v>
      </c>
    </row>
    <row r="3" spans="1:24" ht="13.5" customHeight="1">
      <c r="A3" s="106" t="s">
        <v>197</v>
      </c>
      <c r="B3" s="106"/>
      <c r="C3" s="106"/>
      <c r="D3" s="106"/>
      <c r="E3" s="94" t="s">
        <v>210</v>
      </c>
      <c r="F3" s="5">
        <v>1</v>
      </c>
      <c r="G3" s="18">
        <v>1.0023218076316769</v>
      </c>
      <c r="H3" s="18">
        <v>1.0906245531405583</v>
      </c>
      <c r="I3" s="18">
        <v>1.1825803433789928</v>
      </c>
      <c r="J3" s="18">
        <v>1.2788489615467542</v>
      </c>
      <c r="K3" s="18">
        <v>1.38494675190678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3.5" customHeight="1">
      <c r="A4" s="107" t="s">
        <v>209</v>
      </c>
      <c r="B4" s="107"/>
      <c r="C4" s="107"/>
      <c r="D4" s="107"/>
      <c r="E4" s="5">
        <v>2</v>
      </c>
      <c r="F4" s="5">
        <v>1</v>
      </c>
      <c r="G4" s="18">
        <v>2.1065301636006084</v>
      </c>
      <c r="H4" s="18">
        <v>2.0916888068540564</v>
      </c>
      <c r="I4" s="18">
        <v>2.0808984911613733</v>
      </c>
      <c r="J4" s="18">
        <v>2.0713011078668737</v>
      </c>
      <c r="K4" s="18">
        <v>2.0659724103260682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3.5" customHeight="1">
      <c r="A5" s="102"/>
      <c r="B5" s="102"/>
      <c r="C5" s="102"/>
      <c r="D5" s="102"/>
      <c r="E5" s="104">
        <f>1*SUMSQ(G5:K5)</f>
        <v>3.424182059027106E-2</v>
      </c>
      <c r="F5" s="5"/>
      <c r="G5" s="102">
        <f>G4/$E4-$E4/G4</f>
        <v>0.10383647424527187</v>
      </c>
      <c r="H5" s="102">
        <f t="shared" ref="H5:K5" si="0">H4/$E4-$E4/H4</f>
        <v>8.9679225582986688E-2</v>
      </c>
      <c r="I5" s="102">
        <f t="shared" si="0"/>
        <v>7.932595749382898E-2</v>
      </c>
      <c r="J5" s="102">
        <f t="shared" si="0"/>
        <v>7.0073896631449029E-2</v>
      </c>
      <c r="K5" s="102">
        <f t="shared" si="0"/>
        <v>6.4919066413420268E-2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3.5" hidden="1" customHeight="1">
      <c r="A6" s="106" t="s">
        <v>54</v>
      </c>
      <c r="B6" s="106"/>
      <c r="C6" s="106"/>
      <c r="D6" s="106"/>
      <c r="E6" s="1" t="s">
        <v>2</v>
      </c>
      <c r="F6" s="5">
        <v>1.8</v>
      </c>
      <c r="G6" s="89">
        <f>G$3*$F6</f>
        <v>1.8041792537370185</v>
      </c>
      <c r="H6" s="89">
        <f t="shared" ref="H6:K6" si="1">H$3*$F6</f>
        <v>1.963124195653005</v>
      </c>
      <c r="I6" s="89">
        <f t="shared" si="1"/>
        <v>2.1286446180821872</v>
      </c>
      <c r="J6" s="89">
        <f t="shared" si="1"/>
        <v>2.3019281307841575</v>
      </c>
      <c r="K6" s="89">
        <f t="shared" si="1"/>
        <v>2.4929041534322041</v>
      </c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3.5" hidden="1" customHeight="1">
      <c r="A7" s="106" t="s">
        <v>55</v>
      </c>
      <c r="B7" s="106"/>
      <c r="C7" s="106"/>
      <c r="D7" s="106"/>
      <c r="E7" s="1" t="s">
        <v>2</v>
      </c>
      <c r="F7" s="5">
        <f>F6</f>
        <v>1.8</v>
      </c>
      <c r="G7" s="3">
        <f>G$4*G6</f>
        <v>3.8005580185394652</v>
      </c>
      <c r="H7" s="89">
        <f t="shared" ref="H7:K7" si="2">H$4*H6</f>
        <v>4.1062449065117637</v>
      </c>
      <c r="I7" s="89">
        <f t="shared" si="2"/>
        <v>4.4294933739860012</v>
      </c>
      <c r="J7" s="89">
        <f t="shared" si="2"/>
        <v>4.7679862875231471</v>
      </c>
      <c r="K7" s="89">
        <f t="shared" si="2"/>
        <v>5.1502712025781969</v>
      </c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3.5" hidden="1" customHeight="1">
      <c r="A8" s="106" t="s">
        <v>201</v>
      </c>
      <c r="B8" s="106"/>
      <c r="C8" s="106"/>
      <c r="D8" s="106"/>
      <c r="E8" s="1" t="s">
        <v>2</v>
      </c>
      <c r="F8" s="5">
        <v>1</v>
      </c>
      <c r="G8" s="89">
        <f>G$3*$F8</f>
        <v>1.0023218076316769</v>
      </c>
      <c r="H8" s="89">
        <f t="shared" ref="H8:K8" si="3">H$3*$F8</f>
        <v>1.0906245531405583</v>
      </c>
      <c r="I8" s="89">
        <f t="shared" si="3"/>
        <v>1.1825803433789928</v>
      </c>
      <c r="J8" s="89">
        <f t="shared" si="3"/>
        <v>1.2788489615467542</v>
      </c>
      <c r="K8" s="89">
        <f t="shared" si="3"/>
        <v>1.38494675190678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3.5" hidden="1" customHeight="1">
      <c r="A9" s="106" t="s">
        <v>199</v>
      </c>
      <c r="B9" s="106"/>
      <c r="C9" s="106"/>
      <c r="D9" s="106"/>
      <c r="E9" s="88" t="s">
        <v>2</v>
      </c>
      <c r="F9" s="5">
        <v>1</v>
      </c>
      <c r="G9" s="89">
        <f>G$4*G8</f>
        <v>2.1114211214108138</v>
      </c>
      <c r="H9" s="89">
        <f t="shared" ref="H9:K9" si="4">H$4*H8</f>
        <v>2.2812471702843129</v>
      </c>
      <c r="I9" s="89">
        <f t="shared" si="4"/>
        <v>2.4608296522144446</v>
      </c>
      <c r="J9" s="89">
        <f t="shared" si="4"/>
        <v>2.6488812708461928</v>
      </c>
      <c r="K9" s="89">
        <f t="shared" si="4"/>
        <v>2.8612617792101092</v>
      </c>
      <c r="L9" s="3"/>
      <c r="M9" s="3"/>
      <c r="N9" s="3"/>
      <c r="O9" s="3"/>
      <c r="P9" s="3"/>
      <c r="Q9" s="3"/>
      <c r="R9" s="3"/>
      <c r="S9" s="3"/>
      <c r="T9" s="3"/>
      <c r="U9" s="57"/>
      <c r="V9" s="57"/>
      <c r="W9" s="57"/>
    </row>
    <row r="10" spans="1:24" ht="13.5" customHeight="1">
      <c r="A10" s="106" t="s">
        <v>202</v>
      </c>
      <c r="B10" s="106"/>
      <c r="C10" s="106"/>
      <c r="D10" s="106"/>
      <c r="E10" s="88">
        <v>0</v>
      </c>
      <c r="F10" s="5">
        <v>1</v>
      </c>
      <c r="G10" s="18">
        <v>0.86003177516855944</v>
      </c>
      <c r="H10" s="18">
        <v>0.8677597362013364</v>
      </c>
      <c r="I10" s="18">
        <v>0.86391692252134122</v>
      </c>
      <c r="J10" s="18">
        <v>0.85738093964154161</v>
      </c>
      <c r="K10" s="18">
        <v>0.88283176009913866</v>
      </c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24" ht="13.5" customHeight="1">
      <c r="A11" s="106" t="s">
        <v>200</v>
      </c>
      <c r="B11" s="106"/>
      <c r="C11" s="106"/>
      <c r="D11" s="106"/>
      <c r="E11" s="88" t="s">
        <v>2</v>
      </c>
      <c r="F11" s="5">
        <v>1</v>
      </c>
      <c r="G11" s="89">
        <f>G$4*G10</f>
        <v>1.8116828760475472</v>
      </c>
      <c r="H11" s="89">
        <f t="shared" ref="H11:K11" si="5">H$4*H10</f>
        <v>1.8150833272509641</v>
      </c>
      <c r="I11" s="89">
        <f t="shared" si="5"/>
        <v>1.797723420563436</v>
      </c>
      <c r="J11" s="89">
        <f t="shared" si="5"/>
        <v>1.7758940901434663</v>
      </c>
      <c r="K11" s="89">
        <f t="shared" si="5"/>
        <v>1.8239060593244227</v>
      </c>
      <c r="L11" s="3"/>
      <c r="M11" s="3"/>
      <c r="N11" s="3"/>
      <c r="O11" s="3"/>
      <c r="P11" s="3"/>
      <c r="Q11" s="3"/>
      <c r="R11" s="3"/>
      <c r="S11" s="3"/>
      <c r="T11" s="3"/>
      <c r="U11" s="57"/>
      <c r="V11" s="57"/>
      <c r="W11" s="57"/>
    </row>
    <row r="12" spans="1:24" ht="13.5" hidden="1" customHeight="1">
      <c r="A12" s="106" t="s">
        <v>203</v>
      </c>
      <c r="B12" s="106"/>
      <c r="C12" s="106"/>
      <c r="D12" s="106"/>
      <c r="E12" s="1" t="s">
        <v>2</v>
      </c>
      <c r="F12" s="5">
        <v>0.2</v>
      </c>
      <c r="G12" s="3">
        <f>G$3*$F12</f>
        <v>0.2004643615263354</v>
      </c>
      <c r="H12" s="89">
        <f t="shared" ref="H12:K13" si="6">H$3*$F12</f>
        <v>0.21812491062811168</v>
      </c>
      <c r="I12" s="89">
        <f t="shared" si="6"/>
        <v>0.23651606867579855</v>
      </c>
      <c r="J12" s="89">
        <f t="shared" si="6"/>
        <v>0.25576979230935087</v>
      </c>
      <c r="K12" s="89">
        <f t="shared" si="6"/>
        <v>0.27698935038135603</v>
      </c>
      <c r="L12" s="3"/>
      <c r="M12" s="3"/>
      <c r="N12" s="3"/>
      <c r="O12" s="3"/>
      <c r="P12" s="3"/>
      <c r="Q12" s="3"/>
      <c r="R12" s="3"/>
      <c r="S12" s="3"/>
      <c r="T12" s="3"/>
      <c r="U12" s="57"/>
      <c r="V12" s="57"/>
      <c r="W12" s="57"/>
    </row>
    <row r="13" spans="1:24" ht="13.5" hidden="1" customHeight="1">
      <c r="A13" s="106" t="s">
        <v>204</v>
      </c>
      <c r="B13" s="106"/>
      <c r="C13" s="106"/>
      <c r="D13" s="106"/>
      <c r="E13" s="1" t="s">
        <v>2</v>
      </c>
      <c r="F13" s="5">
        <v>0.18</v>
      </c>
      <c r="G13" s="73">
        <f>G$3*$F13</f>
        <v>0.18041792537370183</v>
      </c>
      <c r="H13" s="91">
        <f t="shared" si="6"/>
        <v>0.19631241956530049</v>
      </c>
      <c r="I13" s="91">
        <f t="shared" si="6"/>
        <v>0.21286446180821869</v>
      </c>
      <c r="J13" s="91">
        <f t="shared" si="6"/>
        <v>0.23019281307841574</v>
      </c>
      <c r="K13" s="91">
        <f t="shared" si="6"/>
        <v>0.24929041534322038</v>
      </c>
      <c r="L13" s="3"/>
      <c r="M13" s="3"/>
      <c r="N13" s="3"/>
      <c r="O13" s="3"/>
      <c r="P13" s="3"/>
      <c r="Q13" s="3"/>
      <c r="R13" s="3"/>
      <c r="S13" s="3"/>
      <c r="T13" s="3"/>
      <c r="U13" s="57"/>
      <c r="V13" s="57"/>
      <c r="W13" s="57"/>
    </row>
    <row r="14" spans="1:24" ht="13.5" hidden="1" customHeight="1">
      <c r="A14" s="106" t="s">
        <v>205</v>
      </c>
      <c r="B14" s="106"/>
      <c r="C14" s="106"/>
      <c r="D14" s="106"/>
      <c r="E14" s="88" t="s">
        <v>2</v>
      </c>
      <c r="F14" s="5">
        <v>0.18</v>
      </c>
      <c r="G14" s="89">
        <f>G$4*G13</f>
        <v>0.38005580185394644</v>
      </c>
      <c r="H14" s="89">
        <f t="shared" ref="H14:K14" si="7">H$4*H13</f>
        <v>0.41062449065117629</v>
      </c>
      <c r="I14" s="89">
        <f t="shared" si="7"/>
        <v>0.44294933739860004</v>
      </c>
      <c r="J14" s="89">
        <f t="shared" si="7"/>
        <v>0.47679862875231471</v>
      </c>
      <c r="K14" s="89">
        <f t="shared" si="7"/>
        <v>0.5150271202578196</v>
      </c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1:24" ht="13.5" hidden="1" customHeight="1">
      <c r="A15" s="106" t="s">
        <v>206</v>
      </c>
      <c r="B15" s="106"/>
      <c r="C15" s="106"/>
      <c r="D15" s="106"/>
      <c r="E15" s="88" t="s">
        <v>2</v>
      </c>
      <c r="F15" s="5">
        <f>F6+2*F13</f>
        <v>2.16</v>
      </c>
      <c r="G15" s="89">
        <f t="shared" ref="G15:K15" si="8">G6+2*G13</f>
        <v>2.1650151044844224</v>
      </c>
      <c r="H15" s="89">
        <f t="shared" si="8"/>
        <v>2.3557490347836061</v>
      </c>
      <c r="I15" s="89">
        <f t="shared" si="8"/>
        <v>2.5543735416986246</v>
      </c>
      <c r="J15" s="89">
        <f t="shared" si="8"/>
        <v>2.7623137569409888</v>
      </c>
      <c r="K15" s="89">
        <f t="shared" si="8"/>
        <v>2.9914849841186451</v>
      </c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1:24" ht="13.5" hidden="1" customHeight="1">
      <c r="A16" s="106" t="s">
        <v>207</v>
      </c>
      <c r="B16" s="106"/>
      <c r="C16" s="106"/>
      <c r="D16" s="106"/>
      <c r="E16" s="88" t="s">
        <v>2</v>
      </c>
      <c r="F16" s="5">
        <f>F7+2*F14</f>
        <v>2.16</v>
      </c>
      <c r="G16" s="89">
        <f t="shared" ref="G16:K16" si="9">G7+2*G14</f>
        <v>4.5606696222473584</v>
      </c>
      <c r="H16" s="89">
        <f t="shared" si="9"/>
        <v>4.9274938878141166</v>
      </c>
      <c r="I16" s="89">
        <f t="shared" si="9"/>
        <v>5.3153920487832016</v>
      </c>
      <c r="J16" s="89">
        <f t="shared" si="9"/>
        <v>5.7215835450277766</v>
      </c>
      <c r="K16" s="89">
        <f t="shared" si="9"/>
        <v>6.1803254430938361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</row>
    <row r="17" spans="1:24" ht="13.5" hidden="1" customHeight="1">
      <c r="A17" s="106" t="s">
        <v>211</v>
      </c>
      <c r="B17" s="106"/>
      <c r="C17" s="106"/>
      <c r="D17" s="106"/>
      <c r="E17" s="88" t="s">
        <v>2</v>
      </c>
      <c r="F17" s="5">
        <v>0.11</v>
      </c>
      <c r="G17" s="73">
        <f>G$3*$F17</f>
        <v>0.11025539883948446</v>
      </c>
      <c r="H17" s="89">
        <f t="shared" ref="H17:K17" si="10">H$3*$F17</f>
        <v>0.11996870084546141</v>
      </c>
      <c r="I17" s="89">
        <f t="shared" si="10"/>
        <v>0.13008383777168919</v>
      </c>
      <c r="J17" s="89">
        <f t="shared" si="10"/>
        <v>0.14067338577014296</v>
      </c>
      <c r="K17" s="89">
        <f t="shared" si="10"/>
        <v>0.15234414270974581</v>
      </c>
      <c r="L17" s="3"/>
      <c r="M17" s="3"/>
      <c r="N17" s="3"/>
      <c r="O17" s="3"/>
      <c r="P17" s="3"/>
      <c r="Q17" s="3"/>
      <c r="R17" s="3"/>
      <c r="S17" s="3"/>
      <c r="T17" s="3"/>
      <c r="U17" s="57"/>
      <c r="V17" s="57"/>
      <c r="W17" s="57"/>
    </row>
    <row r="18" spans="1:24" ht="13.5" hidden="1" customHeight="1">
      <c r="A18" s="106" t="s">
        <v>212</v>
      </c>
      <c r="B18" s="106"/>
      <c r="C18" s="106"/>
      <c r="D18" s="106"/>
      <c r="E18" s="88" t="s">
        <v>2</v>
      </c>
      <c r="F18" s="5">
        <v>0.11</v>
      </c>
      <c r="G18" s="89">
        <f>G$4*G17</f>
        <v>0.23225632335518953</v>
      </c>
      <c r="H18" s="89">
        <f t="shared" ref="H18:K18" si="11">H$4*H17</f>
        <v>0.25093718873127441</v>
      </c>
      <c r="I18" s="89">
        <f t="shared" si="11"/>
        <v>0.27069126174358887</v>
      </c>
      <c r="J18" s="89">
        <f t="shared" si="11"/>
        <v>0.29137693979308121</v>
      </c>
      <c r="K18" s="89">
        <f t="shared" si="11"/>
        <v>0.31473879571311203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</row>
    <row r="19" spans="1:24" ht="13.5" hidden="1" customHeight="1">
      <c r="A19" s="106" t="s">
        <v>213</v>
      </c>
      <c r="B19" s="106"/>
      <c r="C19" s="106"/>
      <c r="D19" s="106"/>
      <c r="E19" s="88" t="s">
        <v>2</v>
      </c>
      <c r="F19" s="5">
        <f>F15+2*F17</f>
        <v>2.3800000000000003</v>
      </c>
      <c r="G19" s="89">
        <f t="shared" ref="G19:K19" si="12">G15+2*G17</f>
        <v>2.3855259021633914</v>
      </c>
      <c r="H19" s="89">
        <f t="shared" si="12"/>
        <v>2.5956864364745291</v>
      </c>
      <c r="I19" s="89">
        <f t="shared" si="12"/>
        <v>2.8145412172420032</v>
      </c>
      <c r="J19" s="89">
        <f t="shared" si="12"/>
        <v>3.0436605284812748</v>
      </c>
      <c r="K19" s="89">
        <f t="shared" si="12"/>
        <v>3.2961732695381367</v>
      </c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</row>
    <row r="20" spans="1:24" ht="13.5" hidden="1" customHeight="1">
      <c r="A20" s="106" t="s">
        <v>214</v>
      </c>
      <c r="B20" s="106"/>
      <c r="C20" s="106"/>
      <c r="D20" s="106"/>
      <c r="E20" s="88" t="s">
        <v>2</v>
      </c>
      <c r="F20" s="5">
        <f>F16+2*F18</f>
        <v>2.3800000000000003</v>
      </c>
      <c r="G20" s="89">
        <f t="shared" ref="G20:K20" si="13">G16+2*G18</f>
        <v>5.025182268957737</v>
      </c>
      <c r="H20" s="89">
        <f t="shared" si="13"/>
        <v>5.4293682652766657</v>
      </c>
      <c r="I20" s="89">
        <f t="shared" si="13"/>
        <v>5.8567745722703792</v>
      </c>
      <c r="J20" s="89">
        <f t="shared" si="13"/>
        <v>6.304337424613939</v>
      </c>
      <c r="K20" s="89">
        <f t="shared" si="13"/>
        <v>6.8098030345200602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</row>
    <row r="21" spans="1:24" ht="13.5" customHeight="1">
      <c r="A21" s="106" t="s">
        <v>230</v>
      </c>
      <c r="B21" s="106"/>
      <c r="C21" s="106"/>
      <c r="D21" s="106"/>
      <c r="E21" s="42" t="s">
        <v>2</v>
      </c>
      <c r="F21" s="5">
        <v>0</v>
      </c>
      <c r="G21" s="18">
        <v>0.33875459234959332</v>
      </c>
      <c r="H21" s="18">
        <v>0.3553672648457501</v>
      </c>
      <c r="I21" s="18">
        <v>0.34873452095335822</v>
      </c>
      <c r="J21" s="18">
        <v>0.32468972110636979</v>
      </c>
      <c r="K21" s="18">
        <v>0.28384900038528299</v>
      </c>
      <c r="L21" s="3"/>
      <c r="M21" s="3"/>
      <c r="N21" s="3"/>
      <c r="O21" s="3"/>
      <c r="P21" s="3"/>
      <c r="Q21" s="3"/>
      <c r="R21" s="3"/>
      <c r="S21" s="3"/>
      <c r="T21" s="3"/>
      <c r="U21" s="57"/>
      <c r="V21" s="57"/>
      <c r="W21" s="57"/>
    </row>
    <row r="22" spans="1:24" ht="13.5" customHeight="1">
      <c r="A22" s="106" t="s">
        <v>166</v>
      </c>
      <c r="B22" s="106"/>
      <c r="C22" s="106"/>
      <c r="D22" s="106"/>
      <c r="E22" s="53" t="s">
        <v>2</v>
      </c>
      <c r="F22" s="2">
        <f>MIN(G22:X22)</f>
        <v>-201.67519669805785</v>
      </c>
      <c r="G22" s="74">
        <v>-81.446099752230651</v>
      </c>
      <c r="H22" s="5">
        <f>G22</f>
        <v>-81.446099752230651</v>
      </c>
      <c r="I22" s="5">
        <f>H22</f>
        <v>-81.446099752230651</v>
      </c>
      <c r="J22" s="5">
        <f t="shared" ref="J22:K22" si="14">I22</f>
        <v>-81.446099752230651</v>
      </c>
      <c r="K22" s="5">
        <f t="shared" si="14"/>
        <v>-81.446099752230651</v>
      </c>
      <c r="L22" s="74">
        <v>-201.67519669805785</v>
      </c>
      <c r="M22" s="74">
        <v>137.80172797263106</v>
      </c>
      <c r="N22" s="74">
        <v>458.07101844726446</v>
      </c>
      <c r="O22" s="74">
        <v>634.01784118630019</v>
      </c>
      <c r="P22" s="74">
        <v>661.46984422705418</v>
      </c>
      <c r="Q22" s="74">
        <v>725.81468615775429</v>
      </c>
      <c r="R22" s="5">
        <f>R24-R23</f>
        <v>952</v>
      </c>
      <c r="S22" s="2">
        <f>1000+S25/2</f>
        <v>1033</v>
      </c>
      <c r="T22" s="2">
        <f>S24+T25</f>
        <v>1063</v>
      </c>
      <c r="U22" s="2">
        <f>T24+U25</f>
        <v>1455</v>
      </c>
      <c r="V22" s="2">
        <f>S22+500</f>
        <v>1533</v>
      </c>
      <c r="W22" s="2">
        <f>V24+W25</f>
        <v>1563</v>
      </c>
      <c r="X22" s="2">
        <f>W24+X25</f>
        <v>1958</v>
      </c>
    </row>
    <row r="23" spans="1:24" ht="13.5" customHeight="1">
      <c r="A23" s="106" t="s">
        <v>231</v>
      </c>
      <c r="B23" s="106"/>
      <c r="C23" s="106"/>
      <c r="D23" s="106"/>
      <c r="E23" s="45" t="s">
        <v>2</v>
      </c>
      <c r="F23" s="2"/>
      <c r="G23" s="5">
        <f>G24-G22</f>
        <v>162.42459065882241</v>
      </c>
      <c r="H23" s="5">
        <f>H24-H22</f>
        <v>162.42459065882241</v>
      </c>
      <c r="I23" s="5">
        <f>I24-I22</f>
        <v>162.42459065882241</v>
      </c>
      <c r="J23" s="5">
        <f>J24-J22</f>
        <v>162.42459065882241</v>
      </c>
      <c r="K23" s="5">
        <f>K24-K22</f>
        <v>162.42459065882241</v>
      </c>
      <c r="L23" s="74">
        <v>339.47733250275536</v>
      </c>
      <c r="M23" s="74">
        <v>82.008660759468825</v>
      </c>
      <c r="N23" s="74">
        <v>163.29308108300344</v>
      </c>
      <c r="O23" s="74">
        <v>22.247091668372494</v>
      </c>
      <c r="P23" s="74">
        <v>56.46218992924868</v>
      </c>
      <c r="Q23" s="74">
        <v>214.34910262565856</v>
      </c>
      <c r="R23" s="5">
        <v>15</v>
      </c>
      <c r="S23" s="5">
        <v>15</v>
      </c>
      <c r="T23" s="5">
        <f>500-SUM(S25/2,T25,U25,V25/2,S23,U23)</f>
        <v>377</v>
      </c>
      <c r="U23" s="5">
        <v>15</v>
      </c>
      <c r="V23" s="5">
        <v>15</v>
      </c>
      <c r="W23" s="5">
        <f>500-SUM(V25:X25,2*V23)</f>
        <v>380</v>
      </c>
      <c r="X23" s="5">
        <f>4*15</f>
        <v>60</v>
      </c>
    </row>
    <row r="24" spans="1:24" ht="13.5" customHeight="1">
      <c r="A24" s="106" t="s">
        <v>167</v>
      </c>
      <c r="B24" s="106"/>
      <c r="C24" s="106"/>
      <c r="D24" s="106"/>
      <c r="E24" s="53" t="s">
        <v>2</v>
      </c>
      <c r="F24" s="2">
        <f>MAX(G24:X24)</f>
        <v>2018</v>
      </c>
      <c r="G24" s="74">
        <v>80.978490906591759</v>
      </c>
      <c r="H24" s="5">
        <f>G24</f>
        <v>80.978490906591759</v>
      </c>
      <c r="I24" s="5">
        <f>H24</f>
        <v>80.978490906591759</v>
      </c>
      <c r="J24" s="5">
        <f>I24</f>
        <v>80.978490906591759</v>
      </c>
      <c r="K24" s="5">
        <f>J24</f>
        <v>80.978490906591759</v>
      </c>
      <c r="L24" s="5">
        <f t="shared" ref="L24:Q24" si="15">L23+L22</f>
        <v>137.80213580469751</v>
      </c>
      <c r="M24" s="5">
        <f t="shared" si="15"/>
        <v>219.81038873209988</v>
      </c>
      <c r="N24" s="5">
        <f t="shared" si="15"/>
        <v>621.36409953026794</v>
      </c>
      <c r="O24" s="5">
        <f t="shared" si="15"/>
        <v>656.26493285467268</v>
      </c>
      <c r="P24" s="5">
        <f t="shared" si="15"/>
        <v>717.93203415630285</v>
      </c>
      <c r="Q24" s="5">
        <f t="shared" si="15"/>
        <v>940.16378878341288</v>
      </c>
      <c r="R24" s="5">
        <f>1000-S25/2</f>
        <v>967</v>
      </c>
      <c r="S24" s="2">
        <f t="shared" ref="S24:X24" si="16">S23+S22</f>
        <v>1048</v>
      </c>
      <c r="T24" s="2">
        <f t="shared" si="16"/>
        <v>1440</v>
      </c>
      <c r="U24" s="2">
        <f t="shared" si="16"/>
        <v>1470</v>
      </c>
      <c r="V24" s="2">
        <f t="shared" si="16"/>
        <v>1548</v>
      </c>
      <c r="W24" s="2">
        <f t="shared" si="16"/>
        <v>1943</v>
      </c>
      <c r="X24" s="2">
        <f t="shared" si="16"/>
        <v>2018</v>
      </c>
    </row>
    <row r="25" spans="1:24" ht="13.5" customHeight="1">
      <c r="A25" s="106" t="s">
        <v>152</v>
      </c>
      <c r="B25" s="106"/>
      <c r="C25" s="106"/>
      <c r="D25" s="106"/>
      <c r="E25" s="45" t="s">
        <v>2</v>
      </c>
      <c r="F25" s="25"/>
      <c r="G25" s="7"/>
      <c r="H25" s="7"/>
      <c r="I25" s="7"/>
      <c r="J25" s="7"/>
      <c r="K25" s="7"/>
      <c r="L25" s="5"/>
      <c r="M25" s="87">
        <f t="shared" ref="M25:R25" si="17">M22-L24</f>
        <v>-4.0783206645755854E-4</v>
      </c>
      <c r="N25" s="69">
        <f t="shared" si="17"/>
        <v>238.26062971516458</v>
      </c>
      <c r="O25" s="5">
        <f t="shared" si="17"/>
        <v>12.653741656032253</v>
      </c>
      <c r="P25" s="5">
        <f t="shared" si="17"/>
        <v>5.2049113723815026</v>
      </c>
      <c r="Q25" s="5">
        <f t="shared" si="17"/>
        <v>7.8826520014514472</v>
      </c>
      <c r="R25" s="5">
        <f t="shared" si="17"/>
        <v>11.836211216587117</v>
      </c>
      <c r="S25" s="69">
        <v>66</v>
      </c>
      <c r="T25" s="5">
        <v>15</v>
      </c>
      <c r="U25" s="5">
        <v>15</v>
      </c>
      <c r="V25" s="69">
        <v>60</v>
      </c>
      <c r="W25" s="5">
        <v>15</v>
      </c>
      <c r="X25" s="5">
        <v>15</v>
      </c>
    </row>
    <row r="26" spans="1:24" ht="13.5" customHeight="1">
      <c r="A26" s="106" t="s">
        <v>232</v>
      </c>
      <c r="B26" s="106"/>
      <c r="C26" s="106"/>
      <c r="D26" s="106"/>
      <c r="E26" s="90" t="s">
        <v>2</v>
      </c>
      <c r="F26" s="17">
        <f>2*SUMPRODUCT(G26:K26,G63:K63)</f>
        <v>558.34542439327629</v>
      </c>
      <c r="G26" s="5">
        <f>G23/G20</f>
        <v>32.322129221495992</v>
      </c>
      <c r="H26" s="5">
        <f t="shared" ref="H26:K26" si="18">H23/H20</f>
        <v>29.915928101175819</v>
      </c>
      <c r="I26" s="5">
        <f t="shared" si="18"/>
        <v>27.732771452027819</v>
      </c>
      <c r="J26" s="5">
        <f t="shared" si="18"/>
        <v>25.763943094903247</v>
      </c>
      <c r="K26" s="5">
        <f t="shared" si="18"/>
        <v>23.851584228716202</v>
      </c>
      <c r="L26" s="5">
        <f>L22</f>
        <v>-201.67519669805785</v>
      </c>
      <c r="M26" s="5">
        <f t="shared" ref="M26:X26" si="19">L24+M25</f>
        <v>137.80172797263106</v>
      </c>
      <c r="N26" s="5">
        <f t="shared" si="19"/>
        <v>458.07101844726446</v>
      </c>
      <c r="O26" s="5">
        <f t="shared" si="19"/>
        <v>634.01784118630019</v>
      </c>
      <c r="P26" s="5">
        <f t="shared" si="19"/>
        <v>661.46984422705418</v>
      </c>
      <c r="Q26" s="5">
        <f t="shared" si="19"/>
        <v>725.81468615775429</v>
      </c>
      <c r="R26" s="5">
        <f t="shared" si="19"/>
        <v>952</v>
      </c>
      <c r="S26" s="2">
        <f t="shared" si="19"/>
        <v>1033</v>
      </c>
      <c r="T26" s="2">
        <f t="shared" si="19"/>
        <v>1063</v>
      </c>
      <c r="U26" s="2">
        <f t="shared" si="19"/>
        <v>1455</v>
      </c>
      <c r="V26" s="2">
        <f t="shared" si="19"/>
        <v>1530</v>
      </c>
      <c r="W26" s="2">
        <f t="shared" si="19"/>
        <v>1563</v>
      </c>
      <c r="X26" s="2">
        <f t="shared" si="19"/>
        <v>1958</v>
      </c>
    </row>
    <row r="27" spans="1:24" ht="13.5" customHeight="1">
      <c r="A27" s="106" t="s">
        <v>48</v>
      </c>
      <c r="B27" s="106"/>
      <c r="C27" s="106"/>
      <c r="D27" s="5">
        <v>0.17</v>
      </c>
      <c r="E27" s="5">
        <v>-0.1</v>
      </c>
      <c r="F27" s="17">
        <v>2000</v>
      </c>
      <c r="G27" s="5"/>
      <c r="H27" s="5"/>
      <c r="I27" s="5"/>
      <c r="J27" s="5"/>
      <c r="K27" s="5"/>
      <c r="L27" s="5">
        <f t="shared" ref="L27:X27" si="20">L22+L23</f>
        <v>137.80213580469751</v>
      </c>
      <c r="M27" s="5">
        <f t="shared" si="20"/>
        <v>219.81038873209988</v>
      </c>
      <c r="N27" s="5">
        <f t="shared" si="20"/>
        <v>621.36409953026794</v>
      </c>
      <c r="O27" s="5">
        <f t="shared" si="20"/>
        <v>656.26493285467268</v>
      </c>
      <c r="P27" s="5">
        <f t="shared" si="20"/>
        <v>717.93203415630285</v>
      </c>
      <c r="Q27" s="5">
        <f t="shared" si="20"/>
        <v>940.16378878341288</v>
      </c>
      <c r="R27" s="5">
        <f t="shared" si="20"/>
        <v>967</v>
      </c>
      <c r="S27" s="2">
        <f t="shared" si="20"/>
        <v>1048</v>
      </c>
      <c r="T27" s="2">
        <f t="shared" si="20"/>
        <v>1440</v>
      </c>
      <c r="U27" s="2">
        <f t="shared" si="20"/>
        <v>1470</v>
      </c>
      <c r="V27" s="2">
        <f t="shared" si="20"/>
        <v>1548</v>
      </c>
      <c r="W27" s="2">
        <f t="shared" si="20"/>
        <v>1943</v>
      </c>
      <c r="X27" s="2">
        <f t="shared" si="20"/>
        <v>2018</v>
      </c>
    </row>
    <row r="28" spans="1:24" ht="13.5" customHeight="1">
      <c r="A28" s="106" t="s">
        <v>46</v>
      </c>
      <c r="B28" s="106"/>
      <c r="C28" s="106"/>
      <c r="D28" s="106"/>
      <c r="E28" s="5">
        <v>0</v>
      </c>
      <c r="F28" s="25"/>
      <c r="G28" s="5">
        <f>$J$1</f>
        <v>16</v>
      </c>
      <c r="H28" s="5">
        <f>G32+G21+$E28</f>
        <v>21.109806396676376</v>
      </c>
      <c r="I28" s="5">
        <f>H32+H21+$E28</f>
        <v>26.656546534471186</v>
      </c>
      <c r="J28" s="5">
        <f>I32+I21+$E28</f>
        <v>32.634363489908552</v>
      </c>
      <c r="K28" s="5">
        <f>J32+J21+$E28</f>
        <v>39.04637426797747</v>
      </c>
      <c r="L28" s="2">
        <v>120</v>
      </c>
      <c r="M28" s="2">
        <f>L28</f>
        <v>120</v>
      </c>
      <c r="N28" s="2">
        <v>120</v>
      </c>
      <c r="O28" s="2">
        <f>N28</f>
        <v>120</v>
      </c>
      <c r="P28" s="2">
        <f t="shared" ref="P28:X28" si="21">O28</f>
        <v>120</v>
      </c>
      <c r="Q28" s="2">
        <f t="shared" si="21"/>
        <v>120</v>
      </c>
      <c r="R28" s="2">
        <f t="shared" si="21"/>
        <v>120</v>
      </c>
      <c r="S28" s="2">
        <v>100</v>
      </c>
      <c r="T28" s="2">
        <f t="shared" si="21"/>
        <v>100</v>
      </c>
      <c r="U28" s="2">
        <f t="shared" si="21"/>
        <v>100</v>
      </c>
      <c r="V28" s="2">
        <f t="shared" si="21"/>
        <v>100</v>
      </c>
      <c r="W28" s="2">
        <f t="shared" si="21"/>
        <v>100</v>
      </c>
      <c r="X28" s="2">
        <f t="shared" si="21"/>
        <v>100</v>
      </c>
    </row>
    <row r="29" spans="1:24" ht="13.5" customHeight="1">
      <c r="A29" s="106" t="s">
        <v>165</v>
      </c>
      <c r="B29" s="106"/>
      <c r="C29" s="106"/>
      <c r="D29" s="106"/>
      <c r="E29" s="45" t="s">
        <v>2</v>
      </c>
      <c r="F29" s="56">
        <f>SUM(M29:R29)/10</f>
        <v>1.6632699443104245E-6</v>
      </c>
      <c r="G29" s="5"/>
      <c r="H29" s="58"/>
      <c r="I29" s="58"/>
      <c r="J29" s="7"/>
      <c r="K29" s="7"/>
      <c r="L29" s="5"/>
      <c r="M29" s="87">
        <f>100*SUMSQ(MIN(0,M31-1),M25,MIN(0,M23-10))</f>
        <v>1.6632699443104244E-5</v>
      </c>
      <c r="N29" s="87">
        <f>10*SUMSQ(MIN(0,N31-1),MIN(0,N25-M32/3-MAX(N32:R32)/3),MIN(0,N25-5),MIN(0,N23-10))</f>
        <v>0</v>
      </c>
      <c r="O29" s="87">
        <f>10*SUMSQ(MIN(0,O31-1),MIN(0,O25-5),MIN(0,O23-10))</f>
        <v>0</v>
      </c>
      <c r="P29" s="87">
        <f>10*SUMSQ(MIN(0,P31-1),MIN(0,P25-5),MIN(0,P23-10))</f>
        <v>0</v>
      </c>
      <c r="Q29" s="87">
        <f>10*SUMSQ(MIN(0,Q31-1),MIN(0,Q25-5),MIN(0,Q23-10))</f>
        <v>0</v>
      </c>
      <c r="R29" s="87">
        <f>10*SUMSQ(MIN(0,R31-1),MIN(0,R25-5),MIN(0,R23-10))</f>
        <v>0</v>
      </c>
      <c r="S29" s="2"/>
      <c r="T29" s="2"/>
      <c r="U29" s="2"/>
      <c r="V29" s="2"/>
      <c r="W29" s="2"/>
      <c r="X29" s="2"/>
    </row>
    <row r="30" spans="1:24" ht="13.5" customHeight="1">
      <c r="A30" s="106" t="s">
        <v>155</v>
      </c>
      <c r="B30" s="106"/>
      <c r="C30" s="106"/>
      <c r="D30" s="106"/>
      <c r="E30" s="35"/>
      <c r="F30" s="17">
        <v>2</v>
      </c>
      <c r="G30" s="17">
        <v>2</v>
      </c>
      <c r="H30" s="17">
        <f>G30</f>
        <v>2</v>
      </c>
      <c r="I30" s="17">
        <f>H30</f>
        <v>2</v>
      </c>
      <c r="J30" s="17">
        <f>I30</f>
        <v>2</v>
      </c>
      <c r="K30" s="17">
        <f>J30</f>
        <v>2</v>
      </c>
      <c r="L30" s="5"/>
      <c r="M30" s="5"/>
      <c r="N30" s="5"/>
      <c r="O30" s="5"/>
      <c r="P30" s="5"/>
      <c r="Q30" s="5"/>
      <c r="R30" s="5"/>
      <c r="S30" s="2"/>
      <c r="T30" s="2"/>
      <c r="U30" s="2"/>
      <c r="V30" s="2"/>
      <c r="W30" s="2"/>
      <c r="X30" s="2"/>
    </row>
    <row r="31" spans="1:24" ht="13.5" customHeight="1">
      <c r="A31" s="106" t="s">
        <v>233</v>
      </c>
      <c r="B31" s="106"/>
      <c r="C31" s="106"/>
      <c r="D31" s="106"/>
      <c r="E31" s="2"/>
      <c r="F31" s="91">
        <f>F30*F19</f>
        <v>4.7600000000000007</v>
      </c>
      <c r="G31" s="51">
        <f>G30*G19</f>
        <v>4.7710518043267829</v>
      </c>
      <c r="H31" s="91">
        <f t="shared" ref="H31:K31" si="22">H30*H19</f>
        <v>5.1913728729490582</v>
      </c>
      <c r="I31" s="91">
        <f t="shared" si="22"/>
        <v>5.6290824344840065</v>
      </c>
      <c r="J31" s="91">
        <f t="shared" si="22"/>
        <v>6.0873210569625495</v>
      </c>
      <c r="K31" s="91">
        <f t="shared" si="22"/>
        <v>6.5923465390762734</v>
      </c>
      <c r="L31" s="18">
        <v>79.994010075775762</v>
      </c>
      <c r="M31" s="18">
        <v>59.066657597239548</v>
      </c>
      <c r="N31" s="18">
        <v>3.0110042336074785</v>
      </c>
      <c r="O31" s="18">
        <v>5.1047100729280048</v>
      </c>
      <c r="P31" s="18">
        <v>3.7621285892452345</v>
      </c>
      <c r="Q31" s="18">
        <v>3.4959800213640606</v>
      </c>
      <c r="R31" s="18">
        <v>15.976572934856526</v>
      </c>
      <c r="S31" s="78">
        <f>R31</f>
        <v>15.976572934856526</v>
      </c>
      <c r="T31" s="78">
        <f t="shared" ref="T31" si="23">Q31</f>
        <v>3.4959800213640606</v>
      </c>
      <c r="U31" s="78">
        <f t="shared" ref="U31" si="24">R31</f>
        <v>15.976572934856526</v>
      </c>
      <c r="V31" s="78">
        <f t="shared" ref="V31" si="25">S31</f>
        <v>15.976572934856526</v>
      </c>
      <c r="W31" s="78">
        <f t="shared" ref="W31" si="26">T31</f>
        <v>3.4959800213640606</v>
      </c>
      <c r="X31" s="78">
        <f>U31</f>
        <v>15.976572934856526</v>
      </c>
    </row>
    <row r="32" spans="1:24" ht="13.5" customHeight="1">
      <c r="A32" s="106" t="s">
        <v>234</v>
      </c>
      <c r="B32" s="106"/>
      <c r="C32" s="106"/>
      <c r="D32" s="106"/>
      <c r="E32" s="88" t="s">
        <v>2</v>
      </c>
      <c r="F32" s="56">
        <f>5*MAX(0,K33+0.1-$J$1-$K$1)^2</f>
        <v>2.5469810391737001E-3</v>
      </c>
      <c r="G32" s="5">
        <f t="shared" ref="G32:X32" si="27">G28+G31</f>
        <v>20.771051804326781</v>
      </c>
      <c r="H32" s="5">
        <f t="shared" si="27"/>
        <v>26.301179269625436</v>
      </c>
      <c r="I32" s="5">
        <f t="shared" si="27"/>
        <v>32.285628968955194</v>
      </c>
      <c r="J32" s="5">
        <f t="shared" si="27"/>
        <v>38.721684546871103</v>
      </c>
      <c r="K32" s="5">
        <f t="shared" si="27"/>
        <v>45.638720807053744</v>
      </c>
      <c r="L32" s="5">
        <f t="shared" si="27"/>
        <v>199.99401007577575</v>
      </c>
      <c r="M32" s="5">
        <f t="shared" si="27"/>
        <v>179.06665759723955</v>
      </c>
      <c r="N32" s="5">
        <f t="shared" si="27"/>
        <v>123.01100423360748</v>
      </c>
      <c r="O32" s="5">
        <f t="shared" si="27"/>
        <v>125.104710072928</v>
      </c>
      <c r="P32" s="5">
        <f t="shared" si="27"/>
        <v>123.76212858924524</v>
      </c>
      <c r="Q32" s="5">
        <f t="shared" si="27"/>
        <v>123.49598002136406</v>
      </c>
      <c r="R32" s="5">
        <f t="shared" si="27"/>
        <v>135.97657293485653</v>
      </c>
      <c r="S32" s="5">
        <f t="shared" si="27"/>
        <v>115.97657293485652</v>
      </c>
      <c r="T32" s="5">
        <f t="shared" si="27"/>
        <v>103.49598002136406</v>
      </c>
      <c r="U32" s="5">
        <f t="shared" si="27"/>
        <v>115.97657293485652</v>
      </c>
      <c r="V32" s="5">
        <f t="shared" si="27"/>
        <v>115.97657293485652</v>
      </c>
      <c r="W32" s="5">
        <f t="shared" si="27"/>
        <v>103.49598002136406</v>
      </c>
      <c r="X32" s="5">
        <f t="shared" si="27"/>
        <v>115.97657293485652</v>
      </c>
    </row>
    <row r="33" spans="1:24" ht="13.5" customHeight="1">
      <c r="A33" s="106" t="s">
        <v>235</v>
      </c>
      <c r="B33" s="106"/>
      <c r="C33" s="106"/>
      <c r="D33" s="106"/>
      <c r="E33" s="88" t="s">
        <v>2</v>
      </c>
      <c r="G33" s="5">
        <f>G21+G32</f>
        <v>21.109806396676376</v>
      </c>
      <c r="H33" s="5">
        <f t="shared" ref="H33:K33" si="28">H21+H32</f>
        <v>26.656546534471186</v>
      </c>
      <c r="I33" s="5">
        <f t="shared" si="28"/>
        <v>32.634363489908552</v>
      </c>
      <c r="J33" s="5">
        <f t="shared" si="28"/>
        <v>39.04637426797747</v>
      </c>
      <c r="K33" s="69">
        <f t="shared" si="28"/>
        <v>45.922569807439025</v>
      </c>
    </row>
    <row r="34" spans="1:24" ht="13.5" customHeight="1">
      <c r="A34" s="106" t="s">
        <v>56</v>
      </c>
      <c r="B34" s="106"/>
      <c r="C34" s="106"/>
      <c r="D34" s="106"/>
      <c r="E34" s="1" t="s">
        <v>44</v>
      </c>
      <c r="F34" s="5">
        <f>SUM(G34:X34)</f>
        <v>37.017992528829623</v>
      </c>
      <c r="G34" s="3">
        <f>0.000001*PI()*G23*(G33^2-G28^2)</f>
        <v>9.6759761206303418E-2</v>
      </c>
      <c r="H34" s="91">
        <f t="shared" ref="H34:K34" si="29">0.000001*PI()*H23*(H33^2-H28^2)</f>
        <v>0.13519528843368919</v>
      </c>
      <c r="I34" s="91">
        <f t="shared" si="29"/>
        <v>0.18085577554441334</v>
      </c>
      <c r="J34" s="91">
        <f t="shared" si="29"/>
        <v>0.23452997857187852</v>
      </c>
      <c r="K34" s="91">
        <f t="shared" si="29"/>
        <v>0.29813302944783532</v>
      </c>
      <c r="L34" s="5">
        <f t="shared" ref="L34:X34" si="30">0.000001*PI()*L23*(L28+L32)*ABS(L31)</f>
        <v>27.29983178038724</v>
      </c>
      <c r="M34" s="5">
        <f t="shared" si="30"/>
        <v>4.5511378025657985</v>
      </c>
      <c r="N34" s="5">
        <f t="shared" si="30"/>
        <v>0.37536602603675706</v>
      </c>
      <c r="O34" s="5">
        <f t="shared" si="30"/>
        <v>8.744718926822985E-2</v>
      </c>
      <c r="P34" s="5">
        <f t="shared" si="30"/>
        <v>0.16266999768476137</v>
      </c>
      <c r="Q34" s="5">
        <f t="shared" si="30"/>
        <v>0.57323444677566615</v>
      </c>
      <c r="R34" s="5">
        <f t="shared" si="30"/>
        <v>0.1927191974527783</v>
      </c>
      <c r="S34" s="5">
        <f t="shared" si="30"/>
        <v>0.16260406695576621</v>
      </c>
      <c r="T34" s="5">
        <f t="shared" si="30"/>
        <v>0.84258941560104683</v>
      </c>
      <c r="U34" s="5">
        <f t="shared" si="30"/>
        <v>0.16260406695576621</v>
      </c>
      <c r="V34" s="5">
        <f t="shared" si="30"/>
        <v>0.16260406695576621</v>
      </c>
      <c r="W34" s="5">
        <f t="shared" si="30"/>
        <v>0.84929437116285911</v>
      </c>
      <c r="X34" s="5">
        <f t="shared" si="30"/>
        <v>0.65041626782306483</v>
      </c>
    </row>
    <row r="35" spans="1:24" ht="13.5" customHeight="1">
      <c r="A35" s="106" t="s">
        <v>215</v>
      </c>
      <c r="B35" s="106"/>
      <c r="C35" s="106"/>
      <c r="D35" s="106"/>
      <c r="E35" s="17" t="s">
        <v>4</v>
      </c>
      <c r="F35" s="17">
        <f>SUM(G35:K35)</f>
        <v>512.92412704200569</v>
      </c>
      <c r="G35" s="2">
        <f>0.01*(PI()*(G28+G32))*G26*G30+2*$M$1*G30*G63</f>
        <v>75.476831579370312</v>
      </c>
      <c r="H35" s="2">
        <f>0.01*(PI()*(H28+H32))*H26*H30+2*$M$1*H30*H63</f>
        <v>89.91715909319997</v>
      </c>
      <c r="I35" s="2">
        <f>0.01*(PI()*(I28+I32))*I26*I30+2*$M$1*I30*I63</f>
        <v>103.50682458024623</v>
      </c>
      <c r="J35" s="2">
        <f>0.01*(PI()*(J28+J32))*J26*J30+2*$M$1*J30*J63</f>
        <v>116.31090562328826</v>
      </c>
      <c r="K35" s="2">
        <f>0.01*(PI()*(K28+K32))*K26*K30+2*$M$1*K30*K63</f>
        <v>127.7124061659009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3.5" hidden="1" customHeight="1">
      <c r="A36" s="106" t="s">
        <v>216</v>
      </c>
      <c r="B36" s="106"/>
      <c r="C36" s="106"/>
      <c r="D36" s="106"/>
      <c r="E36" s="24" t="s">
        <v>22</v>
      </c>
      <c r="F36" s="97">
        <f>F10*F11</f>
        <v>1</v>
      </c>
      <c r="G36" s="3">
        <f>G10*G11</f>
        <v>1.5581048399296533</v>
      </c>
      <c r="H36" s="89">
        <f t="shared" ref="H36:K36" si="31">H10*H11</f>
        <v>1.5750562292387404</v>
      </c>
      <c r="I36" s="89">
        <f t="shared" si="31"/>
        <v>1.5530836850377026</v>
      </c>
      <c r="J36" s="89">
        <f t="shared" si="31"/>
        <v>1.5226177437110657</v>
      </c>
      <c r="K36" s="89">
        <f t="shared" si="31"/>
        <v>1.6102021966088642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3.5" hidden="1" customHeight="1">
      <c r="A37" s="106" t="s">
        <v>217</v>
      </c>
      <c r="B37" s="106"/>
      <c r="C37" s="106"/>
      <c r="D37" s="106"/>
      <c r="E37" s="88" t="s">
        <v>22</v>
      </c>
      <c r="F37" s="97">
        <f>F6*F7-F36-(4-PI())*F$4*F12^2</f>
        <v>2.205663706143592</v>
      </c>
      <c r="G37" s="3">
        <f>G6*G7-G36-(4-PI())*G$4*G12^2</f>
        <v>5.2261163863808662</v>
      </c>
      <c r="H37" s="89">
        <f t="shared" ref="H37:K37" si="32">H6*H7-H36-(4-PI())*H$4*H12^2</f>
        <v>6.4005843442446739</v>
      </c>
      <c r="I37" s="89">
        <f t="shared" si="32"/>
        <v>7.775810509546039</v>
      </c>
      <c r="J37" s="89">
        <f t="shared" si="32"/>
        <v>9.3366291687580087</v>
      </c>
      <c r="K37" s="89">
        <f t="shared" si="32"/>
        <v>11.092866008493456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3.5" hidden="1" customHeight="1">
      <c r="A38" s="106" t="s">
        <v>218</v>
      </c>
      <c r="B38" s="106"/>
      <c r="C38" s="106"/>
      <c r="D38" s="106"/>
      <c r="E38" s="88" t="s">
        <v>22</v>
      </c>
      <c r="F38" s="97">
        <f>F15*F16-F36-F37-(4-PI())*F$4*(F12+F13)^2</f>
        <v>1.3359822730347746</v>
      </c>
      <c r="G38" s="89">
        <f>G15*G16-G36-G37-(4-PI())*G$4*(G12+G13)^2</f>
        <v>2.8273705932805395</v>
      </c>
      <c r="H38" s="89">
        <f t="shared" ref="H38:K38" si="33">H15*H16-H36-H37-(4-PI())*H$4*(H12+H13)^2</f>
        <v>3.3239027543188784</v>
      </c>
      <c r="I38" s="89">
        <f t="shared" si="33"/>
        <v>3.8878804557993258</v>
      </c>
      <c r="J38" s="89">
        <f t="shared" si="33"/>
        <v>4.5256654170437303</v>
      </c>
      <c r="K38" s="89">
        <f t="shared" si="33"/>
        <v>5.2940905506225224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3.5" hidden="1" customHeight="1">
      <c r="A39" s="106" t="s">
        <v>219</v>
      </c>
      <c r="B39" s="106"/>
      <c r="C39" s="106"/>
      <c r="D39" s="106"/>
      <c r="E39" s="24" t="s">
        <v>22</v>
      </c>
      <c r="F39" s="97">
        <f>F19*F20-SUM(F36,F37,F38)-(4-PI())*F$4*SUM(F12,F13,F17)^2</f>
        <v>0.91665041694854399</v>
      </c>
      <c r="G39" s="3">
        <f>G19*G20-SUM(G36,G37,G38)-(4-PI())*G$4*SUM(G12,G13,G17)^2</f>
        <v>1.9399287591678946</v>
      </c>
      <c r="H39" s="89">
        <f t="shared" ref="H39:K39" si="34">H19*H20-SUM(H36,H37,H38)-(4-PI())*H$4*SUM(H12,H13,H17)^2</f>
        <v>2.2806117320117369</v>
      </c>
      <c r="I39" s="89">
        <f t="shared" si="34"/>
        <v>2.6675707550812531</v>
      </c>
      <c r="J39" s="89">
        <f t="shared" si="34"/>
        <v>3.1051707610455401</v>
      </c>
      <c r="K39" s="89">
        <f t="shared" si="34"/>
        <v>3.632406214169257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3.5" hidden="1" customHeight="1">
      <c r="A40" s="106" t="s">
        <v>237</v>
      </c>
      <c r="B40" s="106"/>
      <c r="C40" s="106"/>
      <c r="D40" s="106"/>
      <c r="E40" s="37" t="s">
        <v>22</v>
      </c>
      <c r="F40" s="101">
        <f>F19*F20</f>
        <v>5.6644000000000014</v>
      </c>
      <c r="G40" s="5">
        <f>G19*G20</f>
        <v>11.987702465690884</v>
      </c>
      <c r="H40" s="5">
        <f t="shared" ref="H40:K40" si="35">H19*H20</f>
        <v>14.092937564803885</v>
      </c>
      <c r="I40" s="5">
        <f t="shared" si="35"/>
        <v>16.484133433749886</v>
      </c>
      <c r="J40" s="5">
        <f t="shared" si="35"/>
        <v>19.18826297752474</v>
      </c>
      <c r="K40" s="5">
        <f t="shared" si="35"/>
        <v>22.446290733204712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4" ht="13.5" hidden="1" customHeight="1">
      <c r="A41" s="106" t="s">
        <v>220</v>
      </c>
      <c r="B41" s="106"/>
      <c r="C41" s="106"/>
      <c r="D41" s="106"/>
      <c r="E41" s="88" t="s">
        <v>22</v>
      </c>
      <c r="F41" s="97">
        <f>F40-SUM(F36:F39)</f>
        <v>0.20610360387309079</v>
      </c>
      <c r="G41" s="89">
        <f>G40-SUM(G36:G39)</f>
        <v>0.43618188693193005</v>
      </c>
      <c r="H41" s="96">
        <f t="shared" ref="H41:K41" si="36">H40-SUM(H36:H39)</f>
        <v>0.51278250498985578</v>
      </c>
      <c r="I41" s="96">
        <f t="shared" si="36"/>
        <v>0.5997880282855661</v>
      </c>
      <c r="J41" s="96">
        <f t="shared" si="36"/>
        <v>0.69817988696639688</v>
      </c>
      <c r="K41" s="96">
        <f t="shared" si="36"/>
        <v>0.81672576331061464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4" ht="13.5" hidden="1" customHeight="1">
      <c r="A42" s="106" t="s">
        <v>221</v>
      </c>
      <c r="B42" s="106"/>
      <c r="C42" s="106"/>
      <c r="D42" s="106"/>
      <c r="E42" s="24" t="s">
        <v>22</v>
      </c>
      <c r="F42" s="97">
        <f>F20*F21/F30</f>
        <v>0</v>
      </c>
      <c r="G42" s="3">
        <f>G20*G21/G30</f>
        <v>0.85115178550159132</v>
      </c>
      <c r="H42" s="89">
        <f t="shared" ref="H42:K42" si="37">H20*H21/H30</f>
        <v>0.96470987513584183</v>
      </c>
      <c r="I42" s="89">
        <f t="shared" si="37"/>
        <v>1.02122973739626</v>
      </c>
      <c r="J42" s="89">
        <f t="shared" si="37"/>
        <v>1.0234767800791746</v>
      </c>
      <c r="K42" s="89">
        <f t="shared" si="37"/>
        <v>0.96647789208459289</v>
      </c>
      <c r="L42" s="3"/>
      <c r="M42" s="3"/>
      <c r="N42" s="3"/>
      <c r="O42" s="3"/>
      <c r="P42" s="3"/>
      <c r="Q42" s="3"/>
      <c r="R42" s="3"/>
      <c r="S42" s="3"/>
      <c r="T42" s="3"/>
      <c r="U42" s="57"/>
      <c r="V42" s="57"/>
      <c r="W42" s="57"/>
    </row>
    <row r="43" spans="1:24" ht="13.5" hidden="1" customHeight="1">
      <c r="A43" s="106" t="s">
        <v>236</v>
      </c>
      <c r="B43" s="106"/>
      <c r="C43" s="106"/>
      <c r="D43" s="106"/>
      <c r="E43" s="88" t="s">
        <v>22</v>
      </c>
      <c r="F43" s="101">
        <f>F40+F42</f>
        <v>5.6644000000000014</v>
      </c>
      <c r="G43" s="5">
        <f>G40+G42</f>
        <v>12.838854251192474</v>
      </c>
      <c r="H43" s="5">
        <f t="shared" ref="H43:K43" si="38">H40+H42</f>
        <v>15.057647439939727</v>
      </c>
      <c r="I43" s="5">
        <f t="shared" si="38"/>
        <v>17.505363171146147</v>
      </c>
      <c r="J43" s="5">
        <f t="shared" si="38"/>
        <v>20.211739757603915</v>
      </c>
      <c r="K43" s="5">
        <f t="shared" si="38"/>
        <v>23.412768625289306</v>
      </c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</row>
    <row r="44" spans="1:24" ht="13.5" customHeight="1">
      <c r="A44" s="106" t="s">
        <v>222</v>
      </c>
      <c r="B44" s="106"/>
      <c r="C44" s="106"/>
      <c r="D44" s="106"/>
      <c r="E44" s="88" t="s">
        <v>172</v>
      </c>
      <c r="F44" s="2">
        <f>100*F36/F$43</f>
        <v>17.654120471718095</v>
      </c>
      <c r="G44" s="2">
        <f>100*G36/G$43</f>
        <v>12.135855812717374</v>
      </c>
      <c r="H44" s="2">
        <f t="shared" ref="H44:K44" si="39">100*H36/H$43</f>
        <v>10.460174708706324</v>
      </c>
      <c r="I44" s="2">
        <f t="shared" si="39"/>
        <v>8.8720449261951302</v>
      </c>
      <c r="J44" s="2">
        <f t="shared" si="39"/>
        <v>7.5333334090561772</v>
      </c>
      <c r="K44" s="2">
        <f t="shared" si="39"/>
        <v>6.8774531640380374</v>
      </c>
      <c r="L44" s="3"/>
      <c r="M44" s="3"/>
      <c r="N44" s="3"/>
      <c r="O44" s="3"/>
      <c r="P44" s="3"/>
      <c r="Q44" s="3"/>
      <c r="R44" s="3"/>
      <c r="S44" s="3"/>
      <c r="T44" s="3"/>
      <c r="U44" s="57"/>
      <c r="V44" s="57"/>
      <c r="W44" s="57"/>
    </row>
    <row r="45" spans="1:24" ht="13.5" customHeight="1">
      <c r="A45" s="106" t="s">
        <v>223</v>
      </c>
      <c r="B45" s="106"/>
      <c r="C45" s="106"/>
      <c r="D45" s="106"/>
      <c r="E45" s="88" t="s">
        <v>172</v>
      </c>
      <c r="F45" s="2">
        <f t="shared" ref="F45" si="40">100*F37/F$43</f>
        <v>38.939052788355191</v>
      </c>
      <c r="G45" s="2">
        <f t="shared" ref="G45:K47" si="41">100*G37/G$43</f>
        <v>40.705473277691141</v>
      </c>
      <c r="H45" s="2">
        <f t="shared" si="41"/>
        <v>42.507200210222841</v>
      </c>
      <c r="I45" s="2">
        <f t="shared" si="41"/>
        <v>44.419589776707987</v>
      </c>
      <c r="J45" s="2">
        <f t="shared" si="41"/>
        <v>46.194089577298506</v>
      </c>
      <c r="K45" s="2">
        <f t="shared" si="41"/>
        <v>47.379556796676731</v>
      </c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</row>
    <row r="46" spans="1:24" ht="13.5" customHeight="1">
      <c r="A46" s="106" t="s">
        <v>224</v>
      </c>
      <c r="B46" s="106"/>
      <c r="C46" s="106"/>
      <c r="D46" s="106"/>
      <c r="E46" s="88" t="s">
        <v>172</v>
      </c>
      <c r="F46" s="2">
        <f t="shared" ref="F46" si="42">100*F38/F$43</f>
        <v>23.585591996235685</v>
      </c>
      <c r="G46" s="2">
        <f t="shared" si="41"/>
        <v>22.021985279706193</v>
      </c>
      <c r="H46" s="2">
        <f t="shared" si="41"/>
        <v>22.074515740768224</v>
      </c>
      <c r="I46" s="2">
        <f t="shared" si="41"/>
        <v>22.209653223348525</v>
      </c>
      <c r="J46" s="2">
        <f t="shared" si="41"/>
        <v>22.391270970828312</v>
      </c>
      <c r="K46" s="2">
        <f t="shared" si="41"/>
        <v>22.611979964232464</v>
      </c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</row>
    <row r="47" spans="1:24" ht="13.5" customHeight="1">
      <c r="A47" s="106" t="s">
        <v>227</v>
      </c>
      <c r="B47" s="106"/>
      <c r="C47" s="106"/>
      <c r="D47" s="106"/>
      <c r="E47" s="88" t="s">
        <v>172</v>
      </c>
      <c r="F47" s="2">
        <f t="shared" ref="F47" si="43">100*F39/F$43</f>
        <v>16.182656891260216</v>
      </c>
      <c r="G47" s="2">
        <f t="shared" si="41"/>
        <v>15.10982772460178</v>
      </c>
      <c r="H47" s="2">
        <f t="shared" si="41"/>
        <v>15.145870170678307</v>
      </c>
      <c r="I47" s="2">
        <f t="shared" si="41"/>
        <v>15.238591333415885</v>
      </c>
      <c r="J47" s="2">
        <f t="shared" si="41"/>
        <v>15.363203753290634</v>
      </c>
      <c r="K47" s="2">
        <f t="shared" si="41"/>
        <v>15.514637641981874</v>
      </c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</row>
    <row r="48" spans="1:24" ht="13.5" customHeight="1">
      <c r="A48" s="106" t="s">
        <v>226</v>
      </c>
      <c r="B48" s="106"/>
      <c r="C48" s="106"/>
      <c r="D48" s="106"/>
      <c r="E48" s="88" t="s">
        <v>172</v>
      </c>
      <c r="F48" s="2">
        <f>100*F41/F$43</f>
        <v>3.6385778524308088</v>
      </c>
      <c r="G48" s="2">
        <f>100*G41/G$43</f>
        <v>3.3973583498809283</v>
      </c>
      <c r="H48" s="2">
        <f t="shared" ref="H48:K48" si="44">100*H41/H$43</f>
        <v>3.4054622877523579</v>
      </c>
      <c r="I48" s="2">
        <f t="shared" si="44"/>
        <v>3.426310110916114</v>
      </c>
      <c r="J48" s="2">
        <f t="shared" si="44"/>
        <v>3.4543285008591735</v>
      </c>
      <c r="K48" s="2">
        <f t="shared" si="44"/>
        <v>3.4883775446720477</v>
      </c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</row>
    <row r="49" spans="1:24" ht="13.5" customHeight="1">
      <c r="A49" s="106" t="s">
        <v>225</v>
      </c>
      <c r="B49" s="106"/>
      <c r="C49" s="106"/>
      <c r="D49" s="106"/>
      <c r="E49" s="88" t="s">
        <v>172</v>
      </c>
      <c r="F49" s="2">
        <f>100*F42/F$43</f>
        <v>0</v>
      </c>
      <c r="G49" s="2">
        <f>100*G42/G$43</f>
        <v>6.6294995554025871</v>
      </c>
      <c r="H49" s="2">
        <f t="shared" ref="H49:K49" si="45">100*H42/H$43</f>
        <v>6.4067768818719486</v>
      </c>
      <c r="I49" s="2">
        <f t="shared" si="45"/>
        <v>5.8338106294163561</v>
      </c>
      <c r="J49" s="2">
        <f t="shared" si="45"/>
        <v>5.0637737886672003</v>
      </c>
      <c r="K49" s="2">
        <f t="shared" si="45"/>
        <v>4.1279948883988524</v>
      </c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</row>
    <row r="50" spans="1:24" ht="13.5" customHeight="1">
      <c r="A50" s="106" t="s">
        <v>228</v>
      </c>
      <c r="B50" s="106"/>
      <c r="C50" s="106"/>
      <c r="D50" s="106"/>
      <c r="E50" s="1" t="s">
        <v>21</v>
      </c>
      <c r="F50" s="19">
        <v>5</v>
      </c>
      <c r="G50" s="3">
        <f>$C$2/G40</f>
        <v>2.0576957005170509</v>
      </c>
      <c r="H50" s="89">
        <f>$C$2/H40</f>
        <v>1.75031243197543</v>
      </c>
      <c r="I50" s="89">
        <f>$C$2/I40</f>
        <v>1.4964113170927185</v>
      </c>
      <c r="J50" s="89">
        <f>$C$2/J40</f>
        <v>1.2855277130411622</v>
      </c>
      <c r="K50" s="89">
        <f>$C$2/K40</f>
        <v>1.0989363060436492</v>
      </c>
      <c r="L50" s="18">
        <v>1.9098390042195343</v>
      </c>
      <c r="M50" s="18">
        <v>2.110323904803614</v>
      </c>
      <c r="N50" s="18">
        <v>4.3579243672661354</v>
      </c>
      <c r="O50" s="18">
        <v>4.3249464805350648</v>
      </c>
      <c r="P50" s="18">
        <v>4.3643053775033076</v>
      </c>
      <c r="Q50" s="18">
        <v>4.3332044159853931</v>
      </c>
      <c r="R50" s="18">
        <v>4.2881544700552467</v>
      </c>
      <c r="S50" s="78">
        <f>R50</f>
        <v>4.2881544700552467</v>
      </c>
      <c r="T50" s="78">
        <f t="shared" ref="T50:X50" si="46">S50</f>
        <v>4.2881544700552467</v>
      </c>
      <c r="U50" s="78">
        <f t="shared" si="46"/>
        <v>4.2881544700552467</v>
      </c>
      <c r="V50" s="78">
        <f t="shared" si="46"/>
        <v>4.2881544700552467</v>
      </c>
      <c r="W50" s="78">
        <f t="shared" si="46"/>
        <v>4.2881544700552467</v>
      </c>
      <c r="X50" s="78">
        <f t="shared" si="46"/>
        <v>4.2881544700552467</v>
      </c>
    </row>
    <row r="51" spans="1:24" ht="13.5" customHeight="1">
      <c r="A51" s="106" t="s">
        <v>58</v>
      </c>
      <c r="B51" s="106"/>
      <c r="C51" s="106"/>
      <c r="D51" s="106"/>
      <c r="E51" s="24" t="s">
        <v>57</v>
      </c>
      <c r="F51" s="17">
        <f>SUM(G51:X51)</f>
        <v>600.82482760365042</v>
      </c>
      <c r="G51" s="101">
        <f t="shared" ref="G51:X51" si="47">0.0000001*PI()*G50*G23*(G32^3-G28^3)/3</f>
        <v>0.17028616704588739</v>
      </c>
      <c r="H51" s="101">
        <f t="shared" si="47"/>
        <v>0.26159512850602645</v>
      </c>
      <c r="I51" s="101">
        <f t="shared" si="47"/>
        <v>0.37445610452565248</v>
      </c>
      <c r="J51" s="101">
        <f t="shared" si="47"/>
        <v>0.50952226111819576</v>
      </c>
      <c r="K51" s="101">
        <f t="shared" si="47"/>
        <v>0.66411692508828912</v>
      </c>
      <c r="L51" s="2">
        <f t="shared" si="47"/>
        <v>425.78703607486642</v>
      </c>
      <c r="M51" s="2">
        <f t="shared" si="47"/>
        <v>72.742401665762074</v>
      </c>
      <c r="N51" s="5">
        <f t="shared" si="47"/>
        <v>9.9385453575285165</v>
      </c>
      <c r="O51" s="5">
        <f t="shared" si="47"/>
        <v>2.3178271479609225</v>
      </c>
      <c r="P51" s="5">
        <f t="shared" si="47"/>
        <v>4.3267650709363155</v>
      </c>
      <c r="Q51" s="5">
        <f t="shared" si="47"/>
        <v>15.121786488171558</v>
      </c>
      <c r="R51" s="5">
        <f t="shared" si="47"/>
        <v>5.2954052180672431</v>
      </c>
      <c r="S51" s="5">
        <f t="shared" si="47"/>
        <v>3.7717241734791176</v>
      </c>
      <c r="T51" s="5">
        <f t="shared" si="47"/>
        <v>18.383364031643641</v>
      </c>
      <c r="U51" s="5">
        <f t="shared" si="47"/>
        <v>3.7717241734791176</v>
      </c>
      <c r="V51" s="5">
        <f t="shared" si="47"/>
        <v>3.7717241734791176</v>
      </c>
      <c r="W51" s="5">
        <f t="shared" si="47"/>
        <v>18.529650748075817</v>
      </c>
      <c r="X51" s="5">
        <f t="shared" si="47"/>
        <v>15.08689669391647</v>
      </c>
    </row>
    <row r="52" spans="1:24" ht="13.5" customHeight="1">
      <c r="A52" s="106" t="s">
        <v>163</v>
      </c>
      <c r="B52" s="106"/>
      <c r="C52" s="106"/>
      <c r="D52" s="106"/>
      <c r="E52" s="44" t="s">
        <v>149</v>
      </c>
      <c r="F52" s="3"/>
      <c r="G52" s="5">
        <f>B96</f>
        <v>19.999644592106531</v>
      </c>
      <c r="H52" s="5">
        <f>B100</f>
        <v>18.796547097641142</v>
      </c>
      <c r="I52" s="5">
        <f>B104</f>
        <v>17.700574445855658</v>
      </c>
      <c r="J52" s="5">
        <f>B108</f>
        <v>16.705663081639138</v>
      </c>
      <c r="K52" s="5">
        <f>B112</f>
        <v>15.805434849519575</v>
      </c>
      <c r="L52" s="5">
        <f>B116</f>
        <v>14.995194337829922</v>
      </c>
      <c r="M52" s="5">
        <f>B120</f>
        <v>12.519794182266148</v>
      </c>
      <c r="N52" s="5">
        <f>B124</f>
        <v>2.0368785295336824</v>
      </c>
      <c r="O52" s="5">
        <f>B128</f>
        <v>1.999919607259004</v>
      </c>
      <c r="P52" s="5">
        <f>D130</f>
        <v>2.000392155748663</v>
      </c>
      <c r="Q52" s="5">
        <f>D131</f>
        <v>1.998182004025556</v>
      </c>
      <c r="R52" s="5">
        <f>D132</f>
        <v>1.9678284687190037</v>
      </c>
      <c r="S52" s="5">
        <f>D133</f>
        <v>2.0404281041069239</v>
      </c>
      <c r="T52" s="5">
        <f>D134</f>
        <v>2.0792111899182903</v>
      </c>
      <c r="U52" s="5">
        <f>R52</f>
        <v>1.9678284687190037</v>
      </c>
      <c r="V52" s="5">
        <f t="shared" ref="V52:X52" si="48">S52</f>
        <v>2.0404281041069239</v>
      </c>
      <c r="W52" s="5">
        <f t="shared" si="48"/>
        <v>2.0792111899182903</v>
      </c>
      <c r="X52" s="5">
        <f t="shared" si="48"/>
        <v>1.9678284687190037</v>
      </c>
    </row>
    <row r="53" spans="1:24" ht="13.5" customHeight="1">
      <c r="A53" s="106" t="s">
        <v>162</v>
      </c>
      <c r="B53" s="106"/>
      <c r="C53" s="106"/>
      <c r="D53" s="106"/>
      <c r="E53" s="1" t="s">
        <v>40</v>
      </c>
      <c r="G53" s="2">
        <f>A96</f>
        <v>86.643309607672109</v>
      </c>
      <c r="H53" s="2">
        <f>A100</f>
        <v>87.132905771760264</v>
      </c>
      <c r="I53" s="2">
        <f>A104</f>
        <v>85.767954719176927</v>
      </c>
      <c r="J53" s="2">
        <f>A108</f>
        <v>83.199536271974495</v>
      </c>
      <c r="K53" s="2">
        <f>A112</f>
        <v>79.219024734269368</v>
      </c>
      <c r="L53" s="2">
        <f>A116</f>
        <v>301.17027910408677</v>
      </c>
      <c r="M53" s="2">
        <f>A120</f>
        <v>245.06296863935566</v>
      </c>
      <c r="N53" s="2">
        <f>A124</f>
        <v>54.64663673751334</v>
      </c>
      <c r="O53" s="2">
        <f>A128</f>
        <v>54.196156728360982</v>
      </c>
      <c r="P53" s="2">
        <f>C130</f>
        <v>54.088619976414314</v>
      </c>
      <c r="Q53" s="2">
        <f>C131</f>
        <v>53.523469017609621</v>
      </c>
      <c r="R53" s="2">
        <f>C132</f>
        <v>57.756882157716866</v>
      </c>
      <c r="S53" s="2">
        <f>C133</f>
        <v>51.169023002554674</v>
      </c>
      <c r="T53" s="2">
        <f>C134</f>
        <v>46.200611662498289</v>
      </c>
      <c r="U53" s="2">
        <f>$T53</f>
        <v>46.200611662498289</v>
      </c>
      <c r="V53" s="2">
        <f t="shared" ref="V53:X53" si="49">$T53</f>
        <v>46.200611662498289</v>
      </c>
      <c r="W53" s="2">
        <f t="shared" si="49"/>
        <v>46.200611662498289</v>
      </c>
      <c r="X53" s="2">
        <f t="shared" si="49"/>
        <v>46.200611662498289</v>
      </c>
    </row>
    <row r="54" spans="1:24" ht="13.5" customHeight="1">
      <c r="A54" s="106" t="s">
        <v>164</v>
      </c>
      <c r="B54" s="106"/>
      <c r="C54" s="106"/>
      <c r="D54" s="106"/>
      <c r="E54" s="46">
        <v>0.35</v>
      </c>
      <c r="G54" s="48">
        <v>1.1000000000000001</v>
      </c>
      <c r="H54" s="89">
        <v>1.1000000000000001</v>
      </c>
      <c r="I54" s="89">
        <v>1.1000000000000001</v>
      </c>
      <c r="J54" s="89">
        <v>1.1000000000000001</v>
      </c>
      <c r="K54" s="89">
        <v>1.1000000000000001</v>
      </c>
      <c r="L54" s="47">
        <v>1.23</v>
      </c>
      <c r="M54" s="60">
        <v>1.5</v>
      </c>
      <c r="N54" s="60">
        <v>1.5</v>
      </c>
      <c r="O54" s="60">
        <v>1.6</v>
      </c>
      <c r="P54" s="60">
        <v>1.5</v>
      </c>
      <c r="Q54" s="60">
        <v>1.6</v>
      </c>
      <c r="R54" s="60">
        <v>1.6</v>
      </c>
      <c r="S54" s="47">
        <v>1.6</v>
      </c>
      <c r="T54" s="47">
        <v>1.4</v>
      </c>
      <c r="U54" s="86">
        <v>1.5</v>
      </c>
      <c r="V54" s="86">
        <v>1.5</v>
      </c>
      <c r="W54" s="86">
        <v>1.4</v>
      </c>
      <c r="X54" s="86">
        <v>1.5</v>
      </c>
    </row>
    <row r="55" spans="1:24" ht="13.5" customHeight="1">
      <c r="A55" s="106" t="s">
        <v>154</v>
      </c>
      <c r="B55" s="106"/>
      <c r="C55" s="106"/>
      <c r="D55" s="17">
        <v>46630</v>
      </c>
      <c r="E55" s="5">
        <v>6</v>
      </c>
      <c r="F55" s="5">
        <v>18.2</v>
      </c>
      <c r="G55" s="3">
        <f>E55/F55</f>
        <v>0.32967032967032966</v>
      </c>
      <c r="H55" s="5">
        <v>22.34</v>
      </c>
      <c r="I55" s="3">
        <v>1.2470000000000001</v>
      </c>
      <c r="J55" s="3">
        <v>0.437</v>
      </c>
      <c r="K55" s="3">
        <v>1.7270000000000001</v>
      </c>
      <c r="L55" s="17">
        <f t="shared" ref="L55:U55" si="50">($D55/L52)*(1-$G55^$I55)^2*(L52/$H55)^$J55*(1-L52/$H55)^$K55</f>
        <v>214.84270988814308</v>
      </c>
      <c r="M55" s="17">
        <f t="shared" si="50"/>
        <v>392.71609496837232</v>
      </c>
      <c r="N55" s="17">
        <f t="shared" si="50"/>
        <v>3826.9013645407676</v>
      </c>
      <c r="O55" s="17">
        <f t="shared" si="50"/>
        <v>3878.7219938805933</v>
      </c>
      <c r="P55" s="17">
        <f t="shared" si="50"/>
        <v>3878.0505101734643</v>
      </c>
      <c r="Q55" s="17">
        <f t="shared" si="50"/>
        <v>3881.1931180877164</v>
      </c>
      <c r="R55" s="17">
        <f t="shared" si="50"/>
        <v>3924.8792711650472</v>
      </c>
      <c r="S55" s="17">
        <f t="shared" si="50"/>
        <v>3821.9975932553261</v>
      </c>
      <c r="T55" s="17">
        <f t="shared" si="50"/>
        <v>3769.2267198198574</v>
      </c>
      <c r="U55" s="17">
        <f t="shared" si="50"/>
        <v>3924.8792711650472</v>
      </c>
      <c r="V55" s="17">
        <f t="shared" ref="V55:X55" si="51">U55</f>
        <v>3924.8792711650472</v>
      </c>
      <c r="W55" s="17">
        <f t="shared" si="51"/>
        <v>3924.8792711650472</v>
      </c>
      <c r="X55" s="17">
        <f t="shared" si="51"/>
        <v>3924.8792711650472</v>
      </c>
    </row>
    <row r="56" spans="1:24" ht="13.5" customHeight="1">
      <c r="A56" s="106" t="s">
        <v>156</v>
      </c>
      <c r="B56" s="106"/>
      <c r="C56" s="106"/>
      <c r="D56" s="5">
        <v>6</v>
      </c>
      <c r="E56" s="36" t="s">
        <v>145</v>
      </c>
      <c r="F56" s="17">
        <v>0</v>
      </c>
      <c r="G56" s="3"/>
      <c r="H56" s="3"/>
      <c r="I56" s="3"/>
      <c r="J56" s="3"/>
      <c r="L56" s="3">
        <f t="shared" ref="L56:X56" si="52">10*L50/L55</f>
        <v>8.889475492158351E-2</v>
      </c>
      <c r="M56" s="3">
        <f t="shared" si="52"/>
        <v>5.3736628873679609E-2</v>
      </c>
      <c r="N56" s="3">
        <f t="shared" si="52"/>
        <v>1.1387605668768239E-2</v>
      </c>
      <c r="O56" s="3">
        <f t="shared" si="52"/>
        <v>1.115044204601019E-2</v>
      </c>
      <c r="P56" s="3">
        <f t="shared" si="52"/>
        <v>1.1253864192986214E-2</v>
      </c>
      <c r="Q56" s="3">
        <f t="shared" si="52"/>
        <v>1.1164619445992383E-2</v>
      </c>
      <c r="R56" s="3">
        <f t="shared" si="52"/>
        <v>1.0925570377563145E-2</v>
      </c>
      <c r="S56" s="3">
        <f t="shared" si="52"/>
        <v>1.1219668158929632E-2</v>
      </c>
      <c r="T56" s="3">
        <f t="shared" si="52"/>
        <v>1.1376748571548358E-2</v>
      </c>
      <c r="U56" s="63">
        <f t="shared" si="52"/>
        <v>1.0925570377563145E-2</v>
      </c>
      <c r="V56" s="63">
        <f t="shared" si="52"/>
        <v>1.0925570377563145E-2</v>
      </c>
      <c r="W56" s="63">
        <f t="shared" si="52"/>
        <v>1.0925570377563145E-2</v>
      </c>
      <c r="X56" s="63">
        <f t="shared" si="52"/>
        <v>1.0925570377563145E-2</v>
      </c>
    </row>
    <row r="57" spans="1:24" ht="13.5" customHeight="1">
      <c r="A57" s="106" t="s">
        <v>157</v>
      </c>
      <c r="B57" s="106"/>
      <c r="C57" s="106"/>
      <c r="D57" s="4">
        <v>8.9499999999999993</v>
      </c>
      <c r="E57" s="17">
        <v>100</v>
      </c>
      <c r="F57" s="17">
        <v>0</v>
      </c>
      <c r="G57" s="3">
        <f>(G37+G39)/G40</f>
        <v>0.59778303357613094</v>
      </c>
      <c r="H57" s="3">
        <f>(H37+H39)/H40</f>
        <v>0.61599620635069618</v>
      </c>
      <c r="I57" s="3">
        <f>(I37+I39)/I40</f>
        <v>0.63354141766684202</v>
      </c>
      <c r="J57" s="3">
        <f>(J37+J39)/J40</f>
        <v>0.64840678618886249</v>
      </c>
      <c r="K57" s="3">
        <f>(K37+K39)/K40</f>
        <v>0.6560225204995529</v>
      </c>
      <c r="L57" s="3">
        <f t="shared" ref="L57:X57" si="53">0.4*L50/$F50</f>
        <v>0.15278712033756275</v>
      </c>
      <c r="M57" s="3">
        <f t="shared" si="53"/>
        <v>0.16882591238428912</v>
      </c>
      <c r="N57" s="3">
        <f t="shared" si="53"/>
        <v>0.34863394938129083</v>
      </c>
      <c r="O57" s="3">
        <f t="shared" si="53"/>
        <v>0.34599571844280519</v>
      </c>
      <c r="P57" s="3">
        <f t="shared" si="53"/>
        <v>0.34914443020026464</v>
      </c>
      <c r="Q57" s="3">
        <f t="shared" si="53"/>
        <v>0.34665635327883149</v>
      </c>
      <c r="R57" s="3">
        <f t="shared" si="53"/>
        <v>0.34305235760441977</v>
      </c>
      <c r="S57" s="3">
        <f t="shared" si="53"/>
        <v>0.34305235760441977</v>
      </c>
      <c r="T57" s="3">
        <f t="shared" si="53"/>
        <v>0.34305235760441977</v>
      </c>
      <c r="U57" s="63">
        <f t="shared" si="53"/>
        <v>0.34305235760441977</v>
      </c>
      <c r="V57" s="63">
        <f t="shared" si="53"/>
        <v>0.34305235760441977</v>
      </c>
      <c r="W57" s="63">
        <f t="shared" si="53"/>
        <v>0.34305235760441977</v>
      </c>
      <c r="X57" s="63">
        <f t="shared" si="53"/>
        <v>0.34305235760441977</v>
      </c>
    </row>
    <row r="58" spans="1:24" ht="13.5" customHeight="1">
      <c r="A58" s="106" t="s">
        <v>158</v>
      </c>
      <c r="B58" s="106"/>
      <c r="C58" s="106"/>
      <c r="D58" s="5">
        <v>7.8</v>
      </c>
      <c r="E58" s="17">
        <v>500</v>
      </c>
      <c r="F58" s="17">
        <v>700</v>
      </c>
      <c r="G58" s="3">
        <f>G42/G43</f>
        <v>6.6294995554025876E-2</v>
      </c>
      <c r="H58" s="89">
        <f t="shared" ref="H58:K58" si="54">H42/H43</f>
        <v>6.4067768818719492E-2</v>
      </c>
      <c r="I58" s="89">
        <f t="shared" si="54"/>
        <v>5.8338106294163555E-2</v>
      </c>
      <c r="J58" s="89">
        <f t="shared" si="54"/>
        <v>5.0637737886672009E-2</v>
      </c>
      <c r="K58" s="89">
        <f t="shared" si="54"/>
        <v>4.1279948883988525E-2</v>
      </c>
      <c r="L58" s="49">
        <f t="shared" ref="L58:T58" si="55">L53*L54/$F58</f>
        <v>0.52919920471146675</v>
      </c>
      <c r="M58" s="49">
        <f t="shared" si="55"/>
        <v>0.52513493279861934</v>
      </c>
      <c r="N58" s="49">
        <f t="shared" si="55"/>
        <v>0.11709993586610001</v>
      </c>
      <c r="O58" s="49">
        <f t="shared" si="55"/>
        <v>0.12387692966482511</v>
      </c>
      <c r="P58" s="49">
        <f t="shared" si="55"/>
        <v>0.11590418566374495</v>
      </c>
      <c r="Q58" s="49">
        <f t="shared" si="55"/>
        <v>0.12233935775453629</v>
      </c>
      <c r="R58" s="49">
        <f t="shared" si="55"/>
        <v>0.13201573064621</v>
      </c>
      <c r="S58" s="49">
        <f t="shared" si="55"/>
        <v>0.11695776686298213</v>
      </c>
      <c r="T58" s="49">
        <f t="shared" si="55"/>
        <v>9.240122332499659E-2</v>
      </c>
      <c r="U58" s="49">
        <f t="shared" ref="U58:X58" si="56">U53*U54/$F58</f>
        <v>9.9001310705353479E-2</v>
      </c>
      <c r="V58" s="49">
        <f t="shared" si="56"/>
        <v>9.9001310705353479E-2</v>
      </c>
      <c r="W58" s="49">
        <f t="shared" si="56"/>
        <v>9.240122332499659E-2</v>
      </c>
      <c r="X58" s="49">
        <f t="shared" si="56"/>
        <v>9.9001310705353479E-2</v>
      </c>
    </row>
    <row r="59" spans="1:24" ht="13.5" customHeight="1">
      <c r="A59" s="106" t="s">
        <v>151</v>
      </c>
      <c r="B59" s="106"/>
      <c r="C59" s="106"/>
      <c r="D59" s="5">
        <v>1</v>
      </c>
      <c r="E59" s="15" t="s">
        <v>50</v>
      </c>
      <c r="F59" s="56">
        <f>100*L59^2+SUMSQ(M59:R59)</f>
        <v>1.6124523964301845E-2</v>
      </c>
      <c r="G59" s="3">
        <f>1-G44/100-G57</f>
        <v>0.28085840829669528</v>
      </c>
      <c r="H59" s="89">
        <f t="shared" ref="H59:K59" si="57">1-H44/100-H57</f>
        <v>0.27940204656224055</v>
      </c>
      <c r="I59" s="89">
        <f t="shared" si="57"/>
        <v>0.27773813307120665</v>
      </c>
      <c r="J59" s="89">
        <f t="shared" si="57"/>
        <v>0.27625987972057575</v>
      </c>
      <c r="K59" s="89">
        <f t="shared" si="57"/>
        <v>0.27520294786006672</v>
      </c>
      <c r="L59" s="48">
        <f t="shared" ref="L59:T59" si="58">100*(1-L56-2.5*L57-L58)</f>
        <v>-6.1760476957162247E-3</v>
      </c>
      <c r="M59" s="48">
        <f t="shared" si="58"/>
        <v>-9.3634263302166953E-2</v>
      </c>
      <c r="N59" s="3">
        <f t="shared" si="58"/>
        <v>-7.241498809540392E-3</v>
      </c>
      <c r="O59" s="3">
        <f t="shared" si="58"/>
        <v>-1.6667817848259325E-3</v>
      </c>
      <c r="P59" s="3">
        <f t="shared" si="58"/>
        <v>-1.9125357392804632E-3</v>
      </c>
      <c r="Q59" s="3">
        <f t="shared" si="58"/>
        <v>-1.4486039760729097E-2</v>
      </c>
      <c r="R59" s="3">
        <f t="shared" si="58"/>
        <v>-5.7219503482255907E-2</v>
      </c>
      <c r="S59" s="3">
        <f t="shared" si="58"/>
        <v>1.4191670967038841</v>
      </c>
      <c r="T59" s="3">
        <f t="shared" si="58"/>
        <v>3.8591134092405639</v>
      </c>
      <c r="U59" s="63">
        <f t="shared" ref="U59:X59" si="59">100*(1-U56-2.5*U57-U58)</f>
        <v>3.2442224906033963</v>
      </c>
      <c r="V59" s="63">
        <f t="shared" si="59"/>
        <v>3.2442224906033963</v>
      </c>
      <c r="W59" s="63">
        <f t="shared" si="59"/>
        <v>3.9042312286390852</v>
      </c>
      <c r="X59" s="63">
        <f t="shared" si="59"/>
        <v>3.2442224906033963</v>
      </c>
    </row>
    <row r="60" spans="1:24" ht="13.5" customHeight="1">
      <c r="A60" s="106" t="s">
        <v>159</v>
      </c>
      <c r="B60" s="106"/>
      <c r="C60" s="106"/>
      <c r="D60" s="17">
        <v>30</v>
      </c>
      <c r="E60" s="39">
        <f>SUM(L60:X60)</f>
        <v>80.525434301047</v>
      </c>
      <c r="F60" s="56">
        <f>1000*SUMXMY2(G21:K21,G60:K60)</f>
        <v>1.7262528913713145E-4</v>
      </c>
      <c r="G60" s="3">
        <f>G30*(G40*G53*G54-$F$1*(G37+G39))/($G$1*G20)</f>
        <v>0.33902461681249452</v>
      </c>
      <c r="H60" s="96">
        <f t="shared" ref="H60:K60" si="60">H30*(H40*H53*H54-$F$1*(H37+H39))/($G$1*H20)</f>
        <v>0.35557348830472707</v>
      </c>
      <c r="I60" s="96">
        <f t="shared" si="60"/>
        <v>0.34889737903164147</v>
      </c>
      <c r="J60" s="96">
        <f t="shared" si="60"/>
        <v>0.3248049793624263</v>
      </c>
      <c r="K60" s="96">
        <f t="shared" si="60"/>
        <v>0.28398082126484431</v>
      </c>
      <c r="L60" s="22">
        <f>$D60*L34*L56</f>
        <v>72.804355665539418</v>
      </c>
      <c r="M60" s="21">
        <f>$D60*M34*M56</f>
        <v>7.3368840914835607</v>
      </c>
      <c r="N60" s="21">
        <f>$D60*N34*N56</f>
        <v>0.12823560857877542</v>
      </c>
      <c r="O60" s="40">
        <f t="shared" ref="O60:X60" si="61">$D60*O34*O56/5</f>
        <v>5.8504488961312875E-3</v>
      </c>
      <c r="P60" s="40">
        <f t="shared" si="61"/>
        <v>1.098399637330612E-2</v>
      </c>
      <c r="Q60" s="40">
        <f t="shared" si="61"/>
        <v>3.8399666709505724E-2</v>
      </c>
      <c r="R60" s="40">
        <f t="shared" si="61"/>
        <v>1.2633402929266901E-2</v>
      </c>
      <c r="S60" s="40">
        <f t="shared" si="61"/>
        <v>1.0946182035216433E-2</v>
      </c>
      <c r="T60" s="40">
        <f t="shared" si="61"/>
        <v>5.7515567582045846E-2</v>
      </c>
      <c r="U60" s="40">
        <f t="shared" si="61"/>
        <v>1.0659253063219281E-2</v>
      </c>
      <c r="V60" s="40">
        <f t="shared" si="61"/>
        <v>1.0659253063219281E-2</v>
      </c>
      <c r="W60" s="40">
        <f t="shared" si="61"/>
        <v>5.5674152540448309E-2</v>
      </c>
      <c r="X60" s="40">
        <f t="shared" si="61"/>
        <v>4.2637012252877124E-2</v>
      </c>
    </row>
    <row r="61" spans="1:24" ht="13.5" customHeight="1">
      <c r="A61" s="106" t="s">
        <v>161</v>
      </c>
      <c r="B61" s="106"/>
      <c r="C61" s="106"/>
      <c r="D61" s="43" t="s">
        <v>148</v>
      </c>
      <c r="E61" s="5">
        <f>SUM(G61:K61)</f>
        <v>5.8026478834030542</v>
      </c>
      <c r="F61" s="2">
        <f>SUM(L61:X61)</f>
        <v>217.36171139118699</v>
      </c>
      <c r="G61" s="3">
        <f>0.0001*(G35*G40*($D57*G57+$D59*G59)+0.01*$D58*PI()*(2*G32+G21)*G21*G23)</f>
        <v>0.56595818675223364</v>
      </c>
      <c r="H61" s="3">
        <f>0.0001*(H35*H40*($D57*H57+$D59*H59)+0.01*$D58*PI()*(2*H32+H21)*H21*H23)</f>
        <v>0.80893609209510742</v>
      </c>
      <c r="I61" s="3">
        <f>0.0001*(I35*I40*($D57*I57+$D59*I59)+0.01*$D58*PI()*(2*I32+I21)*I21*I23)</f>
        <v>1.1049578559628603</v>
      </c>
      <c r="J61" s="3">
        <f>0.0001*(J35*J40*($D57*J57+$D59*J59)+0.01*$D58*PI()*(2*J32+J21)*J21*J23)</f>
        <v>1.4573255262386677</v>
      </c>
      <c r="K61" s="3">
        <f>0.0001*(K35*K40*($D57*K57+$D59*K59)+0.01*$D58*PI()*(2*K32+K21)*K21*K23)</f>
        <v>1.8654702223541848</v>
      </c>
      <c r="L61" s="2">
        <f>L34*($D56*L56+$D57*L57+$D58*L58+$D59*L59)</f>
        <v>164.41026136871758</v>
      </c>
      <c r="M61" s="5">
        <f>M34*($D56*M56+$D57*M57+$D58*M58+1*M59)</f>
        <v>26.559666074554418</v>
      </c>
      <c r="N61" s="5">
        <f t="shared" ref="N61:X61" si="62">N34*($D57*N57+$D58*N58+1*N59)</f>
        <v>1.5113782145367638</v>
      </c>
      <c r="O61" s="5">
        <f t="shared" si="62"/>
        <v>0.35514358130601043</v>
      </c>
      <c r="P61" s="5">
        <f t="shared" si="62"/>
        <v>0.65506927668991166</v>
      </c>
      <c r="Q61" s="5">
        <f t="shared" si="62"/>
        <v>2.3172058465829157</v>
      </c>
      <c r="R61" s="5">
        <f t="shared" si="62"/>
        <v>0.77912937199241028</v>
      </c>
      <c r="S61" s="5">
        <f t="shared" si="62"/>
        <v>0.87834753963586409</v>
      </c>
      <c r="T61" s="5">
        <f t="shared" si="62"/>
        <v>6.4459451511300703</v>
      </c>
      <c r="U61" s="5">
        <f t="shared" si="62"/>
        <v>1.1523345852686047</v>
      </c>
      <c r="V61" s="5">
        <f t="shared" si="62"/>
        <v>1.1523345852686047</v>
      </c>
      <c r="W61" s="5">
        <f t="shared" si="62"/>
        <v>6.5355574544294459</v>
      </c>
      <c r="X61" s="5">
        <f t="shared" si="62"/>
        <v>4.6093383410744186</v>
      </c>
    </row>
    <row r="62" spans="1:24" ht="13.5" customHeight="1">
      <c r="A62" s="106" t="s">
        <v>229</v>
      </c>
      <c r="B62" s="106"/>
      <c r="C62" s="106"/>
      <c r="D62" s="106"/>
      <c r="E62" s="88" t="s">
        <v>21</v>
      </c>
      <c r="F62" s="19">
        <v>5</v>
      </c>
      <c r="G62" s="89">
        <f>$C$2/G43</f>
        <v>1.921280773199735</v>
      </c>
      <c r="H62" s="89">
        <f>$C$2/H43</f>
        <v>1.6381738197230975</v>
      </c>
      <c r="I62" s="89">
        <f>$C$2/I43</f>
        <v>1.409113514616374</v>
      </c>
      <c r="J62" s="89">
        <f>$C$2/J43</f>
        <v>1.2204314976621309</v>
      </c>
      <c r="K62" s="89">
        <f>$C$2/K43</f>
        <v>1.0535722715034082</v>
      </c>
      <c r="L62" s="18"/>
      <c r="M62" s="18"/>
      <c r="N62" s="18"/>
      <c r="O62" s="18"/>
      <c r="P62" s="18"/>
      <c r="Q62" s="18"/>
      <c r="R62" s="18"/>
      <c r="S62" s="89"/>
      <c r="T62" s="89"/>
      <c r="U62" s="89"/>
      <c r="V62" s="89"/>
      <c r="W62" s="89"/>
      <c r="X62" s="89"/>
    </row>
    <row r="63" spans="1:24" ht="13.5" customHeight="1">
      <c r="A63" s="106" t="s">
        <v>168</v>
      </c>
      <c r="B63" s="106"/>
      <c r="C63" s="106"/>
      <c r="D63" s="5">
        <v>0.4</v>
      </c>
      <c r="E63" s="38">
        <f>$D63*E61</f>
        <v>2.3210591533612219</v>
      </c>
      <c r="F63" s="39">
        <f>$D63*F61</f>
        <v>86.944684556474797</v>
      </c>
      <c r="G63" s="2">
        <v>2</v>
      </c>
      <c r="H63" s="2">
        <f>G63</f>
        <v>2</v>
      </c>
      <c r="I63" s="2">
        <f t="shared" ref="I63:K63" si="63">H63</f>
        <v>2</v>
      </c>
      <c r="J63" s="2">
        <f t="shared" si="63"/>
        <v>2</v>
      </c>
      <c r="K63" s="2">
        <f t="shared" si="63"/>
        <v>2</v>
      </c>
      <c r="L63" s="76" t="s">
        <v>174</v>
      </c>
      <c r="M63" s="76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4" ht="13.5" customHeight="1">
      <c r="A64" s="106" t="s">
        <v>160</v>
      </c>
      <c r="B64" s="106"/>
      <c r="C64" s="106"/>
      <c r="D64" s="43" t="s">
        <v>147</v>
      </c>
      <c r="E64" s="5" t="s">
        <v>40</v>
      </c>
      <c r="F64" s="2"/>
      <c r="G64" s="5">
        <f>$E58*G60/(G32+G60/2)</f>
        <v>8.094925594825515</v>
      </c>
      <c r="H64" s="5">
        <f>$E58*H60/(H32+H60/2)</f>
        <v>6.714263089421836</v>
      </c>
      <c r="I64" s="5">
        <f>$E58*I60/(I32+I60/2)</f>
        <v>5.374253609350049</v>
      </c>
      <c r="J64" s="5">
        <f>$E58*J60/(J32+J60/2)</f>
        <v>4.176579728580216</v>
      </c>
      <c r="K64" s="5">
        <f>$E58*K60/(K32+K60/2)</f>
        <v>3.1015335248345357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4" ht="13.5" customHeight="1">
      <c r="A65" s="106" t="s">
        <v>5</v>
      </c>
      <c r="B65" s="106"/>
      <c r="C65" s="106"/>
      <c r="D65" s="106"/>
      <c r="E65" s="1" t="s">
        <v>4</v>
      </c>
      <c r="F65" s="2"/>
      <c r="G65" s="2">
        <f>2*$W$1+G35/ABS(G63)</f>
        <v>37.938415789685159</v>
      </c>
      <c r="H65" s="2">
        <f>2*$W$1+H35/ABS(H63)</f>
        <v>45.158579546599988</v>
      </c>
      <c r="I65" s="2">
        <f>2*$W$1+I35/ABS(I63)</f>
        <v>51.953412290123119</v>
      </c>
      <c r="J65" s="2">
        <f>2*$W$1+J35/ABS(J63)</f>
        <v>58.355452811644135</v>
      </c>
      <c r="K65" s="2">
        <f>2*$W$1+K35/ABS(K63)</f>
        <v>64.056203082950447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4" ht="13.5" customHeight="1">
      <c r="A66" s="106" t="s">
        <v>20</v>
      </c>
      <c r="B66" s="106"/>
      <c r="C66" s="106"/>
      <c r="D66" s="106"/>
      <c r="E66" s="1" t="s">
        <v>19</v>
      </c>
      <c r="F66" s="2">
        <v>1</v>
      </c>
      <c r="G66" s="2">
        <f>$F66</f>
        <v>1</v>
      </c>
      <c r="H66" s="2">
        <f t="shared" ref="H66:K66" si="64">$F66</f>
        <v>1</v>
      </c>
      <c r="I66" s="2">
        <f t="shared" si="64"/>
        <v>1</v>
      </c>
      <c r="J66" s="2">
        <f t="shared" si="64"/>
        <v>1</v>
      </c>
      <c r="K66" s="2">
        <f t="shared" si="64"/>
        <v>1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4" ht="13.5" customHeight="1">
      <c r="A67" s="106" t="s">
        <v>238</v>
      </c>
      <c r="B67" s="106"/>
      <c r="C67" s="106"/>
      <c r="D67" s="106"/>
      <c r="E67" s="100" t="s">
        <v>2</v>
      </c>
      <c r="F67" s="5">
        <f t="shared" ref="F67:K67" si="65">2*F10*F11/(F10+F11)</f>
        <v>1</v>
      </c>
      <c r="G67" s="5">
        <f t="shared" si="65"/>
        <v>1.1663706969757701</v>
      </c>
      <c r="H67" s="5">
        <f t="shared" si="65"/>
        <v>1.1741694851222102</v>
      </c>
      <c r="I67" s="5">
        <f t="shared" si="65"/>
        <v>1.1670124320686512</v>
      </c>
      <c r="J67" s="5">
        <f t="shared" si="65"/>
        <v>1.1564441438806936</v>
      </c>
      <c r="K67" s="5">
        <f t="shared" si="65"/>
        <v>1.1897733020568499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4" ht="13.5" customHeight="1">
      <c r="A68" s="106" t="s">
        <v>18</v>
      </c>
      <c r="B68" s="106"/>
      <c r="C68" s="106"/>
      <c r="D68" s="106"/>
      <c r="E68" s="4" t="s">
        <v>3</v>
      </c>
      <c r="F68" s="101">
        <f>1/(1.74+2*LOG10(0.5*F67/(0.00254*F66)))^2</f>
        <v>2.4970638406570479E-2</v>
      </c>
      <c r="G68" s="3">
        <f>1/(1.74+2*LOG10(0.5*G67/(0.00254*G66)))^2</f>
        <v>2.3948227833824665E-2</v>
      </c>
      <c r="H68" s="101">
        <f t="shared" ref="H68:K68" si="66">1/(1.74+2*LOG10(0.5*H67/(0.00254*H66)))^2</f>
        <v>2.3905381490298448E-2</v>
      </c>
      <c r="I68" s="101">
        <f t="shared" si="66"/>
        <v>2.3944686996665625E-2</v>
      </c>
      <c r="J68" s="101">
        <f t="shared" si="66"/>
        <v>2.400334917927412E-2</v>
      </c>
      <c r="K68" s="101">
        <f t="shared" si="66"/>
        <v>2.3820841101781239E-2</v>
      </c>
      <c r="L68" s="3"/>
      <c r="M68" s="3"/>
      <c r="N68" s="3"/>
      <c r="O68" s="3"/>
      <c r="P68" s="3"/>
      <c r="Q68" s="3"/>
      <c r="R68" s="3"/>
      <c r="S68" s="3"/>
      <c r="T68" s="3"/>
      <c r="U68" s="57"/>
      <c r="V68" s="57"/>
      <c r="W68" s="57"/>
    </row>
    <row r="69" spans="1:24" ht="13.5" customHeight="1">
      <c r="A69" s="106" t="s">
        <v>6</v>
      </c>
      <c r="B69" s="106"/>
      <c r="C69" s="106"/>
      <c r="D69" s="106"/>
      <c r="E69" s="1" t="s">
        <v>7</v>
      </c>
      <c r="F69" s="5"/>
      <c r="G69" s="5">
        <f>0.01*SQRT($U$1/(0.00000049*(1+100*G65*G68/G67)))</f>
        <v>10.171946335364906</v>
      </c>
      <c r="H69" s="5">
        <f>0.01*SQRT($U$1/(0.00000049*(1+100*H65*H68/H67)))</f>
        <v>9.3719571409402853</v>
      </c>
      <c r="I69" s="5">
        <f>0.01*SQRT($U$1/(0.00000049*(1+100*I65*I68/I67)))</f>
        <v>8.7102475674952995</v>
      </c>
      <c r="J69" s="5">
        <f>0.01*SQRT($U$1/(0.00000049*(1+100*J65*J68/J67)))</f>
        <v>8.1758370796953681</v>
      </c>
      <c r="K69" s="5">
        <f>0.01*SQRT($U$1/(0.00000049*(1+100*K65*K68/K67)))</f>
        <v>7.9472764653429762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4" ht="13.5" customHeight="1">
      <c r="A70" s="106" t="s">
        <v>38</v>
      </c>
      <c r="B70" s="106"/>
      <c r="C70" s="106"/>
      <c r="D70" s="106"/>
      <c r="E70" s="1" t="s">
        <v>7</v>
      </c>
      <c r="F70" s="5"/>
      <c r="G70" s="5">
        <f>0.3048*(((G67/2.54)^1.212/0.00336)*(14.7*$U$1)/(G65/0.3048))^(1/1.79)</f>
        <v>10.322940079564383</v>
      </c>
      <c r="H70" s="5">
        <f>0.3048*(((H67/2.54)^1.212/0.00336)*(14.7*$U$1)/(H65/0.3048))^(1/1.79)</f>
        <v>9.4079345454585859</v>
      </c>
      <c r="I70" s="5">
        <f>0.3048*(((I67/2.54)^1.212/0.00336)*(14.7*$U$1)/(I65/0.3048))^(1/1.79)</f>
        <v>8.6634062531610176</v>
      </c>
      <c r="J70" s="5">
        <f>0.3048*(((J67/2.54)^1.212/0.00336)*(14.7*$U$1)/(J65/0.3048))^(1/1.79)</f>
        <v>8.0689967344341706</v>
      </c>
      <c r="K70" s="5">
        <f>0.3048*(((K67/2.54)^1.212/0.00336)*(14.7*$U$1)/(K65/0.3048))^(1/1.79)</f>
        <v>7.8083668229760521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4" ht="13.5" customHeight="1">
      <c r="A71" s="106" t="s">
        <v>33</v>
      </c>
      <c r="B71" s="106"/>
      <c r="C71" s="106"/>
      <c r="D71" s="106"/>
      <c r="E71" s="2" t="s">
        <v>173</v>
      </c>
      <c r="F71" s="2">
        <f>SUM(G71:K71)</f>
        <v>27.753383324055104</v>
      </c>
      <c r="G71" s="2">
        <f>0.1*G30*G36*G63*G69</f>
        <v>6.3395835266547049</v>
      </c>
      <c r="H71" s="2">
        <f>0.1*H30*H36*H63*H69</f>
        <v>5.9045437899985966</v>
      </c>
      <c r="I71" s="2">
        <f>0.1*I30*I36*I63*I69</f>
        <v>5.4110973558865147</v>
      </c>
      <c r="J71" s="2">
        <f>0.1*J30*J36*J63*J69</f>
        <v>4.9794698428940123</v>
      </c>
      <c r="K71" s="2">
        <f>0.1*K30*K36*K63*K69</f>
        <v>5.1186888086212763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4" ht="13.5" customHeight="1">
      <c r="A72" s="106" t="s">
        <v>8</v>
      </c>
      <c r="B72" s="106"/>
      <c r="C72" s="106"/>
      <c r="D72" s="106"/>
      <c r="E72" s="1" t="s">
        <v>21</v>
      </c>
      <c r="F72" s="3"/>
      <c r="G72" s="5">
        <f>$C2/G37</f>
        <v>4.7199568473085494</v>
      </c>
      <c r="H72" s="5">
        <f>$C2/H37</f>
        <v>3.8538737240311631</v>
      </c>
      <c r="I72" s="5">
        <f>$C2/I37</f>
        <v>3.1722794417954345</v>
      </c>
      <c r="J72" s="5">
        <f>$C2/J37</f>
        <v>2.6419646080911101</v>
      </c>
      <c r="K72" s="5">
        <f>$C2/K37</f>
        <v>2.2236853671398364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ht="13.5" customHeight="1">
      <c r="A73" s="106" t="s">
        <v>9</v>
      </c>
      <c r="B73" s="106"/>
      <c r="C73" s="106"/>
      <c r="D73" s="106"/>
      <c r="E73" s="6" t="s">
        <v>23</v>
      </c>
      <c r="F73" s="2">
        <f t="shared" ref="F73:F74" si="67">SUMPRODUCT(G$77:K$77,G73:K73)/E$77</f>
        <v>60.259310493274931</v>
      </c>
      <c r="G73" s="7">
        <v>63.216311747996194</v>
      </c>
      <c r="H73" s="7">
        <v>62.032399383141758</v>
      </c>
      <c r="I73" s="7">
        <v>61.102005999158955</v>
      </c>
      <c r="J73" s="7">
        <v>59.893672798342315</v>
      </c>
      <c r="K73" s="7">
        <v>53.605250662347594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4" ht="13.5" customHeight="1">
      <c r="A74" s="106" t="s">
        <v>10</v>
      </c>
      <c r="B74" s="106"/>
      <c r="C74" s="106"/>
      <c r="D74" s="106"/>
      <c r="E74" s="8" t="s">
        <v>24</v>
      </c>
      <c r="F74" s="101">
        <f t="shared" si="67"/>
        <v>2.0758151734529244</v>
      </c>
      <c r="G74" s="3">
        <f>$O$1+0.001*$Q$1*(G73-$S$1)</f>
        <v>2.0965141822359734</v>
      </c>
      <c r="H74" s="101">
        <f>$O$1+0.001*$Q$1*(H73-$S$1)</f>
        <v>2.0882267956819924</v>
      </c>
      <c r="I74" s="3">
        <f>$O$1+0.001*$Q$1*(I73-$S$1)</f>
        <v>2.0817140419941125</v>
      </c>
      <c r="J74" s="3">
        <f>$O$1+0.001*$Q$1*(J73-$S$1)</f>
        <v>2.0732557095883961</v>
      </c>
      <c r="K74" s="3">
        <f>$O$1+0.001*$Q$1*(K73-$S$1)</f>
        <v>2.0292367546364334</v>
      </c>
      <c r="L74" s="3"/>
      <c r="M74" s="3"/>
      <c r="N74" s="3"/>
      <c r="O74" s="3"/>
      <c r="P74" s="3"/>
      <c r="Q74" s="3"/>
      <c r="R74" s="3"/>
      <c r="S74" s="3"/>
      <c r="T74" s="3"/>
      <c r="U74" s="57"/>
      <c r="V74" s="57"/>
      <c r="W74" s="57"/>
    </row>
    <row r="75" spans="1:24" ht="13.5" customHeight="1">
      <c r="A75" s="106" t="s">
        <v>34</v>
      </c>
      <c r="B75" s="106"/>
      <c r="C75" s="106"/>
      <c r="D75" s="106"/>
      <c r="E75" s="17"/>
      <c r="F75" s="5">
        <f>SUM(G75:K75)</f>
        <v>13.651504131648938</v>
      </c>
      <c r="G75" s="5">
        <f>0.1*G35*G74/G37</f>
        <v>3.0278362772163079</v>
      </c>
      <c r="H75" s="5">
        <f>0.1*H35*H74/H37</f>
        <v>2.9335981046614763</v>
      </c>
      <c r="I75" s="5">
        <f>0.1*I35*I74/I37</f>
        <v>2.7710501677785797</v>
      </c>
      <c r="J75" s="5">
        <f>0.1*J35*J74/J37</f>
        <v>2.5827549194926105</v>
      </c>
      <c r="K75" s="5">
        <f>0.1*K35*K74/K37</f>
        <v>2.3362646624999637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4" ht="13.5" customHeight="1">
      <c r="A76" s="106" t="s">
        <v>35</v>
      </c>
      <c r="B76" s="106"/>
      <c r="C76" s="106"/>
      <c r="D76" s="106"/>
      <c r="E76" s="17"/>
      <c r="F76" s="17">
        <f>SUM(G76:K76)</f>
        <v>336.742250661561</v>
      </c>
      <c r="G76" s="2">
        <f>$C2*G75</f>
        <v>74.687770138145666</v>
      </c>
      <c r="H76" s="2">
        <f>$C2*H75</f>
        <v>72.363193005961662</v>
      </c>
      <c r="I76" s="2">
        <f>$C2*I75</f>
        <v>68.353615923576939</v>
      </c>
      <c r="J76" s="2">
        <f>$C2*J75</f>
        <v>63.70892878249515</v>
      </c>
      <c r="K76" s="2">
        <f>$C2*K75</f>
        <v>57.628742811381606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4" ht="13.5" customHeight="1">
      <c r="A77" s="106" t="s">
        <v>43</v>
      </c>
      <c r="B77" s="106"/>
      <c r="C77" s="106"/>
      <c r="D77" s="106"/>
      <c r="E77" s="103">
        <f>SUM(G77:K77)</f>
        <v>8.3064358540333814</v>
      </c>
      <c r="F77" s="5">
        <f>SUM(L77:X77)</f>
        <v>79.912931395417587</v>
      </c>
      <c r="G77" s="5">
        <f>0.001*$C2*G76</f>
        <v>1.8423264990196078</v>
      </c>
      <c r="H77" s="5">
        <f>0.001*$C2*H76</f>
        <v>1.7849860530307093</v>
      </c>
      <c r="I77" s="5">
        <f>0.001*$C2*I76</f>
        <v>1.6860816394289124</v>
      </c>
      <c r="J77" s="5">
        <f>0.001*$C2*J76</f>
        <v>1.5715109381769785</v>
      </c>
      <c r="K77" s="5">
        <f>0.001*$C2*K76</f>
        <v>1.4215307243771738</v>
      </c>
      <c r="L77" s="5">
        <f t="shared" ref="L77:X77" si="68">ABS(L50*L34)</f>
        <v>52.138283542815564</v>
      </c>
      <c r="M77" s="5">
        <f t="shared" si="68"/>
        <v>9.6043748988099953</v>
      </c>
      <c r="N77" s="5">
        <f t="shared" si="68"/>
        <v>1.6358167515094382</v>
      </c>
      <c r="O77" s="5">
        <f t="shared" si="68"/>
        <v>0.3782044134583144</v>
      </c>
      <c r="P77" s="5">
        <f t="shared" si="68"/>
        <v>0.70994154565405465</v>
      </c>
      <c r="Q77" s="5">
        <f t="shared" si="68"/>
        <v>2.4839420361632603</v>
      </c>
      <c r="R77" s="5">
        <f t="shared" si="68"/>
        <v>0.82640968802259096</v>
      </c>
      <c r="S77" s="5">
        <f t="shared" si="68"/>
        <v>0.69727135656553152</v>
      </c>
      <c r="T77" s="5">
        <f t="shared" si="68"/>
        <v>3.6131535689308669</v>
      </c>
      <c r="U77" s="5">
        <f t="shared" si="68"/>
        <v>0.69727135656553152</v>
      </c>
      <c r="V77" s="5">
        <f t="shared" si="68"/>
        <v>0.69727135656553152</v>
      </c>
      <c r="W77" s="5">
        <f t="shared" si="68"/>
        <v>3.6419054540947742</v>
      </c>
      <c r="X77" s="5">
        <f t="shared" si="68"/>
        <v>2.7890854262621261</v>
      </c>
    </row>
    <row r="78" spans="1:24" ht="13.5" customHeight="1">
      <c r="A78" s="14">
        <v>2</v>
      </c>
      <c r="B78" s="41" t="s">
        <v>146</v>
      </c>
      <c r="C78" s="106" t="s">
        <v>153</v>
      </c>
      <c r="D78" s="106"/>
      <c r="E78" s="38">
        <f>A78*0.3367*E77</f>
        <v>5.5935539041060789</v>
      </c>
      <c r="F78" s="2">
        <f>240*E77/F71</f>
        <v>71.830687512614617</v>
      </c>
      <c r="G78" s="2">
        <f>240*G77/G71</f>
        <v>69.745647786744385</v>
      </c>
      <c r="H78" s="2">
        <f t="shared" ref="H78:I78" si="69">240*H77/H71</f>
        <v>72.553726073301263</v>
      </c>
      <c r="I78" s="2">
        <f t="shared" si="69"/>
        <v>74.78327718918716</v>
      </c>
      <c r="J78" s="2">
        <f t="shared" ref="J78" si="70">240*J77/J71</f>
        <v>75.743530348056524</v>
      </c>
      <c r="K78" s="2">
        <f t="shared" ref="K78" si="71">240*K77/K71</f>
        <v>66.651321579835496</v>
      </c>
      <c r="M78" s="41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4" ht="13.5" customHeight="1">
      <c r="A79" s="106" t="s">
        <v>11</v>
      </c>
      <c r="B79" s="106"/>
      <c r="C79" s="106"/>
      <c r="D79" s="106"/>
      <c r="E79" s="1" t="s">
        <v>25</v>
      </c>
      <c r="F79" s="2">
        <f t="shared" ref="F79:F87" si="72">SUMPRODUCT(G$77:K$77,G79:K79)/E$77</f>
        <v>32.666045128308859</v>
      </c>
      <c r="G79" s="2">
        <f>5000*G77/((G10+G11)*G35)</f>
        <v>45.680712623713234</v>
      </c>
      <c r="H79" s="2">
        <f t="shared" ref="H79:K79" si="73">5000*H77/((H10+H11)*H35)</f>
        <v>36.997040555571829</v>
      </c>
      <c r="I79" s="2">
        <f t="shared" si="73"/>
        <v>30.600621530856476</v>
      </c>
      <c r="J79" s="2">
        <f t="shared" si="73"/>
        <v>25.654925293100781</v>
      </c>
      <c r="K79" s="2">
        <f t="shared" si="73"/>
        <v>20.561129894451117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4" ht="13.5" customHeight="1">
      <c r="A80" s="106" t="s">
        <v>12</v>
      </c>
      <c r="B80" s="106"/>
      <c r="C80" s="106"/>
      <c r="D80" s="106"/>
      <c r="E80" s="1" t="s">
        <v>26</v>
      </c>
      <c r="F80" s="5"/>
      <c r="G80" s="5">
        <f>0.009*(1+0.015*($S$1+G78/2))*(100*G69)^0.8/G67^0.2</f>
        <v>3.718076774440874</v>
      </c>
      <c r="H80" s="5">
        <f t="shared" ref="H80:K80" si="74">0.009*(1+0.015*($S$1+H78/2))*(100*H69)^0.8/H67^0.2</f>
        <v>3.5213825016686404</v>
      </c>
      <c r="I80" s="5">
        <f t="shared" si="74"/>
        <v>3.357917218679924</v>
      </c>
      <c r="J80" s="5">
        <f t="shared" si="74"/>
        <v>3.2113367699751114</v>
      </c>
      <c r="K80" s="5">
        <f t="shared" si="74"/>
        <v>2.9976296345050155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4" ht="13.5" customHeight="1">
      <c r="A81" s="106" t="s">
        <v>27</v>
      </c>
      <c r="B81" s="106"/>
      <c r="C81" s="106"/>
      <c r="D81" s="106"/>
      <c r="E81" s="6" t="s">
        <v>23</v>
      </c>
      <c r="F81" s="2">
        <f t="shared" si="72"/>
        <v>9.517809358416649</v>
      </c>
      <c r="G81" s="2">
        <f>G79/G80</f>
        <v>12.286113330885353</v>
      </c>
      <c r="H81" s="2">
        <f t="shared" ref="H81:I81" si="75">H79/H80</f>
        <v>10.506396433230536</v>
      </c>
      <c r="I81" s="2">
        <f t="shared" si="75"/>
        <v>9.1129767466055327</v>
      </c>
      <c r="J81" s="2">
        <f t="shared" ref="J81" si="76">J79/J80</f>
        <v>7.9888616893019329</v>
      </c>
      <c r="K81" s="2">
        <f t="shared" ref="K81" si="77">K79/K80</f>
        <v>6.8591295127912888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4" ht="13.5" customHeight="1">
      <c r="A82" s="106" t="s">
        <v>13</v>
      </c>
      <c r="B82" s="106"/>
      <c r="C82" s="106"/>
      <c r="D82" s="106"/>
      <c r="E82" s="1" t="s">
        <v>28</v>
      </c>
      <c r="F82" s="2">
        <f t="shared" si="72"/>
        <v>25.731462965020427</v>
      </c>
      <c r="G82" s="2">
        <f>G72^2*G74</f>
        <v>46.706127522462261</v>
      </c>
      <c r="H82" s="2">
        <f t="shared" ref="H82:I82" si="78">H72^2*H74</f>
        <v>31.01505996465157</v>
      </c>
      <c r="I82" s="2">
        <f t="shared" si="78"/>
        <v>20.949031278477303</v>
      </c>
      <c r="J82" s="2">
        <f t="shared" ref="J82" si="79">J72^2*J74</f>
        <v>14.471277148154895</v>
      </c>
      <c r="K82" s="2">
        <f t="shared" ref="K82" si="80">K72^2*K74</f>
        <v>10.034122444601607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4" ht="13.5" customHeight="1">
      <c r="A83" s="108" t="s">
        <v>29</v>
      </c>
      <c r="B83" s="108"/>
      <c r="C83" s="108"/>
      <c r="D83" s="108"/>
      <c r="E83" s="1" t="s">
        <v>2</v>
      </c>
      <c r="F83" s="2">
        <f t="shared" si="72"/>
        <v>1.3015127118263818</v>
      </c>
      <c r="G83" s="3">
        <f>(G7-G11)/2</f>
        <v>0.994437571245959</v>
      </c>
      <c r="H83" s="96">
        <f>(H7-H11)/2</f>
        <v>1.1455807896303998</v>
      </c>
      <c r="I83" s="96">
        <f t="shared" ref="I83:K83" si="81">(I7-I11)/2</f>
        <v>1.3158849767112826</v>
      </c>
      <c r="J83" s="96">
        <f t="shared" si="81"/>
        <v>1.4960460986898405</v>
      </c>
      <c r="K83" s="96">
        <f t="shared" si="81"/>
        <v>1.6631825716268871</v>
      </c>
      <c r="L83" s="3"/>
      <c r="M83" s="3"/>
      <c r="N83" s="3"/>
      <c r="O83" s="3"/>
      <c r="P83" s="3"/>
      <c r="Q83" s="3"/>
      <c r="R83" s="3"/>
      <c r="S83" s="3"/>
      <c r="T83" s="3"/>
      <c r="U83" s="57"/>
      <c r="V83" s="57"/>
      <c r="W83" s="57"/>
    </row>
    <row r="84" spans="1:24" ht="13.5" customHeight="1">
      <c r="A84" s="106" t="s">
        <v>14</v>
      </c>
      <c r="B84" s="106"/>
      <c r="C84" s="106"/>
      <c r="D84" s="106"/>
      <c r="E84" s="4" t="s">
        <v>3</v>
      </c>
      <c r="F84" s="2">
        <f t="shared" si="72"/>
        <v>0.55174231227860326</v>
      </c>
      <c r="G84" s="3">
        <f>(G37/(PI()*G83)-G8)/G83</f>
        <v>0.674258212721356</v>
      </c>
      <c r="H84" s="3">
        <f>(H37/(PI()*H83)-H8)/H83</f>
        <v>0.60042483158922433</v>
      </c>
      <c r="I84" s="3">
        <f>(I37/(PI()*I83)-I8)/I83</f>
        <v>0.53072444583075129</v>
      </c>
      <c r="J84" s="3">
        <f>(J37/(PI()*J83)-J8)/J83</f>
        <v>0.47303465342683487</v>
      </c>
      <c r="K84" s="3">
        <f>(K37/(PI()*K83)-K8)/K83</f>
        <v>0.44377129218089284</v>
      </c>
      <c r="L84" s="3"/>
      <c r="M84" s="3"/>
      <c r="N84" s="3"/>
      <c r="O84" s="3"/>
      <c r="P84" s="3"/>
      <c r="Q84" s="3"/>
      <c r="R84" s="3"/>
      <c r="S84" s="3"/>
      <c r="T84" s="3"/>
      <c r="U84" s="57"/>
      <c r="V84" s="57"/>
      <c r="W84" s="57"/>
    </row>
    <row r="85" spans="1:24" ht="13.5" customHeight="1">
      <c r="A85" s="106" t="s">
        <v>15</v>
      </c>
      <c r="B85" s="106"/>
      <c r="C85" s="106"/>
      <c r="D85" s="106"/>
      <c r="E85" s="1" t="s">
        <v>2</v>
      </c>
      <c r="F85" s="2">
        <f t="shared" si="72"/>
        <v>1.1089576181277199</v>
      </c>
      <c r="G85" s="3">
        <f>0.5*G8/G84</f>
        <v>0.74327741859178253</v>
      </c>
      <c r="H85" s="3">
        <f>0.5*H8/H84</f>
        <v>0.90821073326852342</v>
      </c>
      <c r="I85" s="3">
        <f>0.5*I8/I84</f>
        <v>1.1141189676385466</v>
      </c>
      <c r="J85" s="3">
        <f>0.5*J8/J84</f>
        <v>1.3517497632385997</v>
      </c>
      <c r="K85" s="3">
        <f>0.5*K8/K84</f>
        <v>1.5604285093572923</v>
      </c>
      <c r="L85" s="3"/>
      <c r="M85" s="3"/>
      <c r="N85" s="3"/>
      <c r="O85" s="3"/>
      <c r="P85" s="3"/>
      <c r="Q85" s="3"/>
      <c r="R85" s="3"/>
      <c r="S85" s="3"/>
      <c r="T85" s="3"/>
      <c r="U85" s="57"/>
      <c r="V85" s="57"/>
      <c r="W85" s="57"/>
    </row>
    <row r="86" spans="1:24" ht="13.5" customHeight="1">
      <c r="A86" s="106" t="s">
        <v>16</v>
      </c>
      <c r="B86" s="106"/>
      <c r="C86" s="106"/>
      <c r="D86" s="106"/>
      <c r="E86" s="1" t="s">
        <v>2</v>
      </c>
      <c r="F86" s="2">
        <f t="shared" si="72"/>
        <v>2.4104703299541015</v>
      </c>
      <c r="G86" s="3">
        <f>G83+G85</f>
        <v>1.7377149898377415</v>
      </c>
      <c r="H86" s="3">
        <f t="shared" ref="H86:I86" si="82">H83+H85</f>
        <v>2.0537915228989232</v>
      </c>
      <c r="I86" s="3">
        <f t="shared" si="82"/>
        <v>2.4300039443498291</v>
      </c>
      <c r="J86" s="3">
        <f t="shared" ref="J86" si="83">J83+J85</f>
        <v>2.8477958619284403</v>
      </c>
      <c r="K86" s="3">
        <f t="shared" ref="K86" si="84">K83+K85</f>
        <v>3.2236110809841794</v>
      </c>
      <c r="L86" s="3"/>
      <c r="M86" s="3"/>
      <c r="N86" s="3"/>
      <c r="O86" s="3"/>
      <c r="P86" s="3"/>
      <c r="Q86" s="3"/>
      <c r="R86" s="3"/>
      <c r="S86" s="3"/>
      <c r="T86" s="3"/>
      <c r="U86" s="57"/>
      <c r="V86" s="57"/>
      <c r="W86" s="57"/>
    </row>
    <row r="87" spans="1:24" ht="13.5" customHeight="1">
      <c r="A87" s="106" t="s">
        <v>30</v>
      </c>
      <c r="B87" s="106"/>
      <c r="C87" s="106"/>
      <c r="D87" s="106"/>
      <c r="E87" s="9">
        <v>3.9</v>
      </c>
      <c r="F87" s="2">
        <f t="shared" si="72"/>
        <v>6.3004561726392545</v>
      </c>
      <c r="G87" s="2">
        <f>0.25*G82*(G85^2+G86^2*(2*LN(G86/G85)-1))/$E87</f>
        <v>7.9691767397230944</v>
      </c>
      <c r="H87" s="2">
        <f t="shared" ref="H87:I87" si="85">0.25*H82*(H85^2+H86^2*(2*LN(H86/H85)-1))/$E87</f>
        <v>6.9393758960434813</v>
      </c>
      <c r="I87" s="2">
        <f t="shared" si="85"/>
        <v>6.1047568747317627</v>
      </c>
      <c r="J87" s="2">
        <f t="shared" ref="J87" si="86">0.25*J82*(J85^2+J86^2*(2*LN(J86/J85)-1))/$E87</f>
        <v>5.3835541083839971</v>
      </c>
      <c r="K87" s="2">
        <f t="shared" ref="K87" si="87">0.25*K82*(K85^2+K86^2*(2*LN(K86/K85)-1))/$E87</f>
        <v>4.5812500680466188</v>
      </c>
      <c r="L87" s="5"/>
      <c r="M87" s="5"/>
      <c r="N87" s="5" t="s">
        <v>51</v>
      </c>
      <c r="O87" s="5"/>
      <c r="P87" s="5"/>
      <c r="Q87" s="5"/>
      <c r="R87" s="5"/>
      <c r="S87" s="5"/>
      <c r="T87" s="5"/>
      <c r="U87" s="5"/>
      <c r="V87" s="5"/>
      <c r="W87" s="5"/>
    </row>
    <row r="88" spans="1:24" ht="13.5" customHeight="1">
      <c r="A88" s="106" t="s">
        <v>37</v>
      </c>
      <c r="B88" s="106"/>
      <c r="C88" s="106"/>
      <c r="D88" s="106"/>
      <c r="E88" s="7"/>
      <c r="F88" s="56"/>
      <c r="G88" s="2">
        <f>G78+G81+G87</f>
        <v>90.000937857352838</v>
      </c>
      <c r="H88" s="2">
        <f t="shared" ref="H88:I88" si="88">H78+H81+H87</f>
        <v>89.999498402575284</v>
      </c>
      <c r="I88" s="2">
        <f t="shared" si="88"/>
        <v>90.001010810524448</v>
      </c>
      <c r="J88" s="2">
        <f t="shared" ref="J88" si="89">J78+J81+J87</f>
        <v>89.115946145742441</v>
      </c>
      <c r="K88" s="2">
        <f t="shared" ref="K88" si="90">K78+K81+K87</f>
        <v>78.091701160673395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4" ht="13.5" customHeight="1">
      <c r="A89" s="106" t="s">
        <v>170</v>
      </c>
      <c r="B89" s="106"/>
      <c r="C89" s="106"/>
      <c r="D89" s="106"/>
      <c r="E89" s="2">
        <v>90</v>
      </c>
      <c r="F89" s="56">
        <f>SUM(G89:K89)</f>
        <v>1.9013143306079977E-6</v>
      </c>
      <c r="G89" s="2">
        <f>MAX(0,G88-$E89)^2</f>
        <v>8.7957641427234386E-7</v>
      </c>
      <c r="H89" s="2">
        <f t="shared" ref="H89:K89" si="91">MAX(0,H88-$E89)^2</f>
        <v>0</v>
      </c>
      <c r="I89" s="2">
        <f t="shared" si="91"/>
        <v>1.021737916335654E-6</v>
      </c>
      <c r="J89" s="2">
        <f t="shared" si="91"/>
        <v>0</v>
      </c>
      <c r="K89" s="2">
        <f t="shared" si="91"/>
        <v>0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4" ht="13.5" customHeight="1">
      <c r="A90" s="106" t="s">
        <v>36</v>
      </c>
      <c r="B90" s="106"/>
      <c r="C90" s="106"/>
      <c r="D90" s="106"/>
      <c r="F90" s="56">
        <f>SUMXMY2(G73:K73,G90:K90)</f>
        <v>4.450506109565279E-5</v>
      </c>
      <c r="G90" s="10">
        <f>$S$1+0.5*G78+G81+(0.25*G82/$E87)*(G86^2*((2*LN(G86/G85)/(1-G85^2/G86^2))-1.5)+0.5*G85^2)</f>
        <v>63.219231831840574</v>
      </c>
      <c r="H90" s="10">
        <f>$S$1+0.5*H78+H81+(0.25*H82/$E87)*(H86^2*((2*LN(H86/H85)/(1-H85^2/H86^2))-1.5)+0.5*H85^2)</f>
        <v>62.036409669077294</v>
      </c>
      <c r="I90" s="10">
        <f>$S$1+0.5*I78+I81+(0.25*I82/$E87)*(I86^2*((2*LN(I86/I85)/(1-I85^2/I86^2))-1.5)+0.5*I85^2)</f>
        <v>61.102808498753909</v>
      </c>
      <c r="J90" s="10">
        <f>$S$1+0.5*J78+J81+(0.25*J82/$E87)*(J86^2*((2*LN(J86/J85)/(1-J85^2/J86^2))-1.5)+0.5*J85^2)</f>
        <v>59.895834986531291</v>
      </c>
      <c r="K90" s="10">
        <f>$S$1+0.5*K78+K81+(0.25*K82/$E87)*(K86^2*((2*LN(K86/K85)/(1-K85^2/K86^2))-1.5)+0.5*K85^2)</f>
        <v>53.609068608757411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4" ht="13.5" customHeight="1">
      <c r="D91" s="99">
        <f>D156</f>
        <v>14.998252021533485</v>
      </c>
      <c r="E91" s="99">
        <f>E156</f>
        <v>5.0013925705730538</v>
      </c>
      <c r="F91" s="99">
        <f>F156</f>
        <v>19.999644592106538</v>
      </c>
      <c r="G91" s="77">
        <f>100*(MAX(F151:F161)-MIN(F151:F161))/F156</f>
        <v>3.7638767034405185</v>
      </c>
      <c r="H91" s="12" t="s">
        <v>172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4" ht="13.5" customHeight="1">
      <c r="A92" s="5"/>
      <c r="B92" s="5">
        <f>0.0001*SUM(G92:K92)</f>
        <v>5.0013925705730538</v>
      </c>
      <c r="D92" s="5">
        <f>0.0001*SUM(L92:T92)</f>
        <v>14.996724784380008</v>
      </c>
      <c r="E92" s="2">
        <v>0</v>
      </c>
      <c r="F92" s="5">
        <f>0.0001*SUM(G92:X92)</f>
        <v>19.999644592106534</v>
      </c>
      <c r="G92" s="17">
        <f t="shared" ref="G92:X92" si="92">200*PI()*G$50*((G$24-$E92)*(ASINH(G$32/MAX(ABS(G$24-$E92),0.000001))-ASINH(G$28/MAX(ABS(G$24-$E92),0.000001)))-(G$22-$E92)*(ASINH(G$32/MAX(ABS(G$22-$E92),0.000001))-ASINH(G$28/MAX(ABS(G$22-$E92),0.000001))))</f>
        <v>12030.974944653904</v>
      </c>
      <c r="H92" s="17">
        <f t="shared" si="92"/>
        <v>10959.726517854848</v>
      </c>
      <c r="I92" s="17">
        <f t="shared" si="92"/>
        <v>9949.1136421652045</v>
      </c>
      <c r="J92" s="17">
        <f t="shared" si="92"/>
        <v>9002.2823211956438</v>
      </c>
      <c r="K92" s="17">
        <f t="shared" si="92"/>
        <v>8071.8282798609343</v>
      </c>
      <c r="L92" s="17">
        <f t="shared" si="92"/>
        <v>138154.00921237413</v>
      </c>
      <c r="M92" s="17">
        <f t="shared" si="92"/>
        <v>11559.227413291874</v>
      </c>
      <c r="N92" s="17">
        <f t="shared" si="92"/>
        <v>122.34056513627286</v>
      </c>
      <c r="O92" s="17">
        <f t="shared" si="92"/>
        <v>16.378550328266762</v>
      </c>
      <c r="P92" s="17">
        <f t="shared" si="92"/>
        <v>25.265601353401372</v>
      </c>
      <c r="Q92" s="17">
        <f t="shared" si="92"/>
        <v>52.330213289823348</v>
      </c>
      <c r="R92" s="17">
        <f t="shared" si="92"/>
        <v>11.675713784778791</v>
      </c>
      <c r="S92" s="17">
        <f t="shared" si="92"/>
        <v>6.5893986015062849</v>
      </c>
      <c r="T92" s="17">
        <f t="shared" si="92"/>
        <v>19.43117564003931</v>
      </c>
      <c r="U92" s="17">
        <f t="shared" si="92"/>
        <v>2.3918326782195827</v>
      </c>
      <c r="V92" s="17">
        <f t="shared" si="92"/>
        <v>2.0482501296585705</v>
      </c>
      <c r="W92" s="17">
        <f t="shared" si="92"/>
        <v>7.0072088546415587</v>
      </c>
      <c r="X92" s="17">
        <f t="shared" si="92"/>
        <v>3.8250798722143138</v>
      </c>
    </row>
    <row r="93" spans="1:24" ht="13.5" customHeight="1">
      <c r="A93" s="24"/>
      <c r="B93" s="1" t="s">
        <v>39</v>
      </c>
      <c r="C93" s="44" t="s">
        <v>150</v>
      </c>
      <c r="D93" s="24" t="s">
        <v>59</v>
      </c>
      <c r="E93" s="1" t="s">
        <v>2</v>
      </c>
      <c r="F93" s="24" t="s">
        <v>60</v>
      </c>
      <c r="G93" s="1" t="s">
        <v>32</v>
      </c>
      <c r="H93" s="1" t="s">
        <v>32</v>
      </c>
      <c r="I93" s="1" t="s">
        <v>32</v>
      </c>
      <c r="J93" s="36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32</v>
      </c>
      <c r="P93" s="1" t="s">
        <v>32</v>
      </c>
      <c r="Q93" s="1" t="s">
        <v>32</v>
      </c>
      <c r="R93" s="1" t="s">
        <v>32</v>
      </c>
      <c r="S93" s="1" t="s">
        <v>32</v>
      </c>
      <c r="T93" s="1" t="s">
        <v>32</v>
      </c>
      <c r="U93" s="62" t="s">
        <v>32</v>
      </c>
      <c r="V93" s="62" t="s">
        <v>32</v>
      </c>
      <c r="W93" s="62" t="s">
        <v>32</v>
      </c>
      <c r="X93" s="62" t="s">
        <v>32</v>
      </c>
    </row>
    <row r="94" spans="1:24" ht="13.5" customHeight="1">
      <c r="A94" s="24"/>
      <c r="B94" s="1"/>
      <c r="C94" s="2">
        <f>0.1*G$50*((7*G$28^2+14*G$28*G$32+85*G$32^2)*(D94+F94)+14*(G$28^2*D94+G$32^2*F94))/(120*(G$28+G$32))</f>
        <v>76.346903104567744</v>
      </c>
      <c r="D94" s="5">
        <f>F94+0.0001*G94</f>
        <v>17.498545169659621</v>
      </c>
      <c r="E94" s="2">
        <v>-75</v>
      </c>
      <c r="F94" s="5">
        <f>0.0001*SUM(H94:X94)</f>
        <v>16.681018474519625</v>
      </c>
      <c r="G94" s="17">
        <f t="shared" ref="G94:P103" si="93">200*PI()*G$50*((G$24-$E94)*(ASINH(G$32/MAX(ABS(G$24-$E94),0.000001))-ASINH(G$28/MAX(ABS(G$24-$E94),0.000001)))-(G$22-$E94)*(ASINH(G$32/MAX(ABS(G$22-$E94),0.000001))-ASINH(G$28/MAX(ABS(G$22-$E94),0.000001))))</f>
        <v>8175.2669513999699</v>
      </c>
      <c r="H94" s="17">
        <f t="shared" si="93"/>
        <v>7147.2849042919142</v>
      </c>
      <c r="I94" s="17">
        <f t="shared" si="93"/>
        <v>6334.2962001534625</v>
      </c>
      <c r="J94" s="17">
        <f t="shared" si="93"/>
        <v>5668.9803019084648</v>
      </c>
      <c r="K94" s="17">
        <f t="shared" si="93"/>
        <v>5079.0537951789829</v>
      </c>
      <c r="L94" s="17">
        <f t="shared" si="93"/>
        <v>136648.34085537019</v>
      </c>
      <c r="M94" s="17">
        <f t="shared" si="93"/>
        <v>5733.3762286609099</v>
      </c>
      <c r="N94" s="17">
        <f t="shared" si="93"/>
        <v>83.4655181353817</v>
      </c>
      <c r="O94" s="17">
        <f t="shared" si="93"/>
        <v>11.897098282222307</v>
      </c>
      <c r="P94" s="17">
        <f t="shared" si="93"/>
        <v>18.684846931211155</v>
      </c>
      <c r="Q94" s="17">
        <f t="shared" ref="Q94:X103" si="94">200*PI()*Q$50*((Q$24-$E94)*(ASINH(Q$32/MAX(ABS(Q$24-$E94),0.000001))-ASINH(Q$28/MAX(ABS(Q$24-$E94),0.000001)))-(Q$22-$E94)*(ASINH(Q$32/MAX(ABS(Q$22-$E94),0.000001))-ASINH(Q$28/MAX(ABS(Q$22-$E94),0.000001))))</f>
        <v>40.409010941514097</v>
      </c>
      <c r="R94" s="17">
        <f t="shared" si="94"/>
        <v>9.3502503856788817</v>
      </c>
      <c r="S94" s="17">
        <f t="shared" si="94"/>
        <v>5.3588108353006261</v>
      </c>
      <c r="T94" s="17">
        <f t="shared" si="94"/>
        <v>16.25514930437982</v>
      </c>
      <c r="U94" s="17">
        <f t="shared" si="94"/>
        <v>2.060204110041973</v>
      </c>
      <c r="V94" s="17">
        <f t="shared" si="94"/>
        <v>1.7772026504499414</v>
      </c>
      <c r="W94" s="17">
        <f t="shared" si="94"/>
        <v>6.1705073341538741</v>
      </c>
      <c r="X94" s="17">
        <f t="shared" si="94"/>
        <v>3.4238607220121349</v>
      </c>
    </row>
    <row r="95" spans="1:24" ht="13.5" customHeight="1">
      <c r="A95" s="5"/>
      <c r="B95" s="5">
        <f>0.5*(D94-D97)/(D94-2*D95+D97)</f>
        <v>0.71492384590875724</v>
      </c>
      <c r="C95" s="2">
        <f>0.1*G$50*((7*G$28^2+14*G$28*G$32+85*G$32^2)*(D95+F95)+14*(G$28^2*D95+G$32^2*F95))/(120*(G$28+G$32))</f>
        <v>85.019324264806158</v>
      </c>
      <c r="D95" s="5">
        <f t="shared" ref="D95:D97" si="95">F95+0.0001*G95</f>
        <v>19.623698321780932</v>
      </c>
      <c r="E95" s="2">
        <v>-37.5</v>
      </c>
      <c r="F95" s="5">
        <f>0.0001*SUM(H95:X95)</f>
        <v>18.445268743252527</v>
      </c>
      <c r="G95" s="17">
        <f t="shared" si="93"/>
        <v>11784.295785284059</v>
      </c>
      <c r="H95" s="17">
        <f t="shared" si="93"/>
        <v>10621.955332450651</v>
      </c>
      <c r="I95" s="17">
        <f t="shared" si="93"/>
        <v>9531.2272394392421</v>
      </c>
      <c r="J95" s="17">
        <f t="shared" si="93"/>
        <v>8525.2535197454545</v>
      </c>
      <c r="K95" s="17">
        <f t="shared" si="93"/>
        <v>7564.6897843125325</v>
      </c>
      <c r="L95" s="17">
        <f t="shared" si="93"/>
        <v>139919.17438529211</v>
      </c>
      <c r="M95" s="17">
        <f t="shared" si="93"/>
        <v>8060.1072048773312</v>
      </c>
      <c r="N95" s="17">
        <f t="shared" si="93"/>
        <v>100.45354940465612</v>
      </c>
      <c r="O95" s="17">
        <f t="shared" si="93"/>
        <v>13.901736826266124</v>
      </c>
      <c r="P95" s="17">
        <f t="shared" si="93"/>
        <v>21.647439387610131</v>
      </c>
      <c r="Q95" s="17">
        <f t="shared" si="94"/>
        <v>45.857404204220266</v>
      </c>
      <c r="R95" s="17">
        <f t="shared" si="94"/>
        <v>10.427389582937927</v>
      </c>
      <c r="S95" s="17">
        <f t="shared" si="94"/>
        <v>5.9318718099335452</v>
      </c>
      <c r="T95" s="17">
        <f t="shared" si="94"/>
        <v>17.748310463112379</v>
      </c>
      <c r="U95" s="17">
        <f t="shared" si="94"/>
        <v>2.2177855187971978</v>
      </c>
      <c r="V95" s="17">
        <f t="shared" si="94"/>
        <v>1.9063257731971321</v>
      </c>
      <c r="W95" s="17">
        <f t="shared" si="94"/>
        <v>6.5710853013609754</v>
      </c>
      <c r="X95" s="17">
        <f t="shared" si="94"/>
        <v>3.6170681358616594</v>
      </c>
    </row>
    <row r="96" spans="1:24" ht="13.5" customHeight="1">
      <c r="A96" s="2">
        <f>MAX(C94:C97)</f>
        <v>86.643309607672109</v>
      </c>
      <c r="B96" s="5">
        <f>MAX(D94:D97)</f>
        <v>19.999644592106531</v>
      </c>
      <c r="C96" s="2">
        <f>0.1*G$50*((7*G$28^2+14*G$28*G$32+85*G$32^2)*(D96+F96)+14*(G$28^2*D96+G$32^2*F96))/(120*(G$28+G$32))</f>
        <v>86.527582942759494</v>
      </c>
      <c r="D96" s="5">
        <f t="shared" si="95"/>
        <v>19.973025389006107</v>
      </c>
      <c r="E96" s="2">
        <f>IF(ABS(B95)&lt;1,E95+B95*(E95-E94),E95)</f>
        <v>-10.690355778421605</v>
      </c>
      <c r="F96" s="5">
        <f>0.0001*SUM(H96:X96)</f>
        <v>18.771352163369865</v>
      </c>
      <c r="G96" s="17">
        <f t="shared" si="93"/>
        <v>12016.732256362413</v>
      </c>
      <c r="H96" s="17">
        <f t="shared" si="93"/>
        <v>10939.567114651902</v>
      </c>
      <c r="I96" s="17">
        <f t="shared" si="93"/>
        <v>9923.201339523479</v>
      </c>
      <c r="J96" s="17">
        <f t="shared" si="93"/>
        <v>8971.4719190095493</v>
      </c>
      <c r="K96" s="17">
        <f t="shared" si="93"/>
        <v>8037.7095744399603</v>
      </c>
      <c r="L96" s="17">
        <f t="shared" si="93"/>
        <v>139171.38277941683</v>
      </c>
      <c r="M96" s="17">
        <f t="shared" si="93"/>
        <v>10412.928119312681</v>
      </c>
      <c r="N96" s="17">
        <f t="shared" si="93"/>
        <v>115.50615214087345</v>
      </c>
      <c r="O96" s="17">
        <f t="shared" si="93"/>
        <v>15.616736831560088</v>
      </c>
      <c r="P96" s="17">
        <f t="shared" si="93"/>
        <v>24.157363607438615</v>
      </c>
      <c r="Q96" s="17">
        <f t="shared" si="94"/>
        <v>50.367143603483633</v>
      </c>
      <c r="R96" s="17">
        <f t="shared" si="94"/>
        <v>11.300498992100785</v>
      </c>
      <c r="S96" s="17">
        <f t="shared" si="94"/>
        <v>6.3924714278465</v>
      </c>
      <c r="T96" s="17">
        <f t="shared" si="94"/>
        <v>18.93038528402063</v>
      </c>
      <c r="U96" s="17">
        <f t="shared" si="94"/>
        <v>2.3404158846314633</v>
      </c>
      <c r="V96" s="17">
        <f t="shared" si="94"/>
        <v>2.0063961426851074</v>
      </c>
      <c r="W96" s="17">
        <f t="shared" si="94"/>
        <v>6.8790324745566371</v>
      </c>
      <c r="X96" s="17">
        <f t="shared" si="94"/>
        <v>3.7641909550702746</v>
      </c>
    </row>
    <row r="97" spans="1:24" ht="13.5" customHeight="1">
      <c r="A97" s="2"/>
      <c r="B97" s="2"/>
      <c r="C97" s="2">
        <f>0.1*G$50*((7*G$28^2+14*G$28*G$32+85*G$32^2)*(D97+F97)+14*(G$28^2*D97+G$32^2*F97))/(120*(G$28+G$32))</f>
        <v>86.643309607672109</v>
      </c>
      <c r="D97" s="5">
        <f t="shared" si="95"/>
        <v>19.999644592106531</v>
      </c>
      <c r="E97" s="2">
        <v>0</v>
      </c>
      <c r="F97" s="5">
        <f>0.0001*SUM(H97:X97)</f>
        <v>18.796547097641142</v>
      </c>
      <c r="G97" s="17">
        <f t="shared" si="93"/>
        <v>12030.974944653904</v>
      </c>
      <c r="H97" s="17">
        <f t="shared" si="93"/>
        <v>10959.726517854848</v>
      </c>
      <c r="I97" s="17">
        <f t="shared" si="93"/>
        <v>9949.1136421652045</v>
      </c>
      <c r="J97" s="17">
        <f t="shared" si="93"/>
        <v>9002.2823211956438</v>
      </c>
      <c r="K97" s="17">
        <f t="shared" si="93"/>
        <v>8071.8282798609343</v>
      </c>
      <c r="L97" s="17">
        <f t="shared" si="93"/>
        <v>138154.00921237413</v>
      </c>
      <c r="M97" s="17">
        <f t="shared" si="93"/>
        <v>11559.227413291874</v>
      </c>
      <c r="N97" s="17">
        <f t="shared" si="93"/>
        <v>122.34056513627286</v>
      </c>
      <c r="O97" s="17">
        <f t="shared" si="93"/>
        <v>16.378550328266762</v>
      </c>
      <c r="P97" s="17">
        <f t="shared" si="93"/>
        <v>25.265601353401372</v>
      </c>
      <c r="Q97" s="17">
        <f t="shared" si="94"/>
        <v>52.330213289823348</v>
      </c>
      <c r="R97" s="17">
        <f t="shared" si="94"/>
        <v>11.675713784778791</v>
      </c>
      <c r="S97" s="17">
        <f t="shared" si="94"/>
        <v>6.5893986015062849</v>
      </c>
      <c r="T97" s="17">
        <f t="shared" si="94"/>
        <v>19.43117564003931</v>
      </c>
      <c r="U97" s="17">
        <f t="shared" si="94"/>
        <v>2.3918326782195827</v>
      </c>
      <c r="V97" s="17">
        <f t="shared" si="94"/>
        <v>2.0482501296585705</v>
      </c>
      <c r="W97" s="17">
        <f t="shared" si="94"/>
        <v>7.0072088546415587</v>
      </c>
      <c r="X97" s="17">
        <f t="shared" si="94"/>
        <v>3.8250798722143138</v>
      </c>
    </row>
    <row r="98" spans="1:24" ht="13.5" customHeight="1">
      <c r="A98" s="2"/>
      <c r="B98" s="2"/>
      <c r="C98" s="2">
        <f>0.1*H$50*((7*H$28^2+14*H$28*H$32+85*H$32^2)*(D98+F98)+14*(H$28^2*D98+H$32^2*F98))/(120*(H$28+H$32))</f>
        <v>77.955976072266509</v>
      </c>
      <c r="D98" s="5">
        <f>F98+0.0001*H98</f>
        <v>16.681018474519625</v>
      </c>
      <c r="E98" s="2">
        <v>-75</v>
      </c>
      <c r="F98" s="5">
        <f>0.0001*SUM(I98:X98)</f>
        <v>15.966289984090436</v>
      </c>
      <c r="G98" s="17">
        <f t="shared" si="93"/>
        <v>8175.2669513999699</v>
      </c>
      <c r="H98" s="17">
        <f t="shared" si="93"/>
        <v>7147.2849042919142</v>
      </c>
      <c r="I98" s="17">
        <f t="shared" si="93"/>
        <v>6334.2962001534625</v>
      </c>
      <c r="J98" s="17">
        <f t="shared" si="93"/>
        <v>5668.9803019084648</v>
      </c>
      <c r="K98" s="17">
        <f t="shared" si="93"/>
        <v>5079.0537951789829</v>
      </c>
      <c r="L98" s="17">
        <f t="shared" si="93"/>
        <v>136648.34085537019</v>
      </c>
      <c r="M98" s="17">
        <f t="shared" si="93"/>
        <v>5733.3762286609099</v>
      </c>
      <c r="N98" s="17">
        <f t="shared" si="93"/>
        <v>83.4655181353817</v>
      </c>
      <c r="O98" s="17">
        <f t="shared" si="93"/>
        <v>11.897098282222307</v>
      </c>
      <c r="P98" s="17">
        <f t="shared" si="93"/>
        <v>18.684846931211155</v>
      </c>
      <c r="Q98" s="17">
        <f t="shared" si="94"/>
        <v>40.409010941514097</v>
      </c>
      <c r="R98" s="17">
        <f t="shared" si="94"/>
        <v>9.3502503856788817</v>
      </c>
      <c r="S98" s="17">
        <f t="shared" si="94"/>
        <v>5.3588108353006261</v>
      </c>
      <c r="T98" s="17">
        <f t="shared" si="94"/>
        <v>16.25514930437982</v>
      </c>
      <c r="U98" s="17">
        <f t="shared" si="94"/>
        <v>2.060204110041973</v>
      </c>
      <c r="V98" s="17">
        <f t="shared" si="94"/>
        <v>1.7772026504499414</v>
      </c>
      <c r="W98" s="17">
        <f t="shared" si="94"/>
        <v>6.1705073341538741</v>
      </c>
      <c r="X98" s="17">
        <f t="shared" si="94"/>
        <v>3.4238607220121349</v>
      </c>
    </row>
    <row r="99" spans="1:24" ht="13.5" customHeight="1">
      <c r="A99" s="2"/>
      <c r="B99" s="5">
        <f>0.5*(D98-D101)/(D98-2*D99+D101)</f>
        <v>0.74860958014981627</v>
      </c>
      <c r="C99" s="2">
        <f>0.1*H$50*((7*H$28^2+14*H$28*H$32+85*H$32^2)*(D99+F99)+14*(H$28^2*D99+H$32^2*F99))/(120*(H$28+H$32))</f>
        <v>85.536993146068369</v>
      </c>
      <c r="D99" s="5">
        <f t="shared" ref="D99:D101" si="96">F99+0.0001*H99</f>
        <v>18.445268743252527</v>
      </c>
      <c r="E99" s="2">
        <v>-37.5</v>
      </c>
      <c r="F99" s="5">
        <f>0.0001*SUM(I99:X99)</f>
        <v>17.383073210007463</v>
      </c>
      <c r="G99" s="17">
        <f t="shared" si="93"/>
        <v>11784.295785284059</v>
      </c>
      <c r="H99" s="17">
        <f t="shared" si="93"/>
        <v>10621.955332450651</v>
      </c>
      <c r="I99" s="17">
        <f t="shared" si="93"/>
        <v>9531.2272394392421</v>
      </c>
      <c r="J99" s="17">
        <f t="shared" si="93"/>
        <v>8525.2535197454545</v>
      </c>
      <c r="K99" s="17">
        <f t="shared" si="93"/>
        <v>7564.6897843125325</v>
      </c>
      <c r="L99" s="17">
        <f t="shared" si="93"/>
        <v>139919.17438529211</v>
      </c>
      <c r="M99" s="17">
        <f t="shared" si="93"/>
        <v>8060.1072048773312</v>
      </c>
      <c r="N99" s="17">
        <f t="shared" si="93"/>
        <v>100.45354940465612</v>
      </c>
      <c r="O99" s="17">
        <f t="shared" si="93"/>
        <v>13.901736826266124</v>
      </c>
      <c r="P99" s="17">
        <f t="shared" si="93"/>
        <v>21.647439387610131</v>
      </c>
      <c r="Q99" s="17">
        <f t="shared" si="94"/>
        <v>45.857404204220266</v>
      </c>
      <c r="R99" s="17">
        <f t="shared" si="94"/>
        <v>10.427389582937927</v>
      </c>
      <c r="S99" s="17">
        <f t="shared" si="94"/>
        <v>5.9318718099335452</v>
      </c>
      <c r="T99" s="17">
        <f t="shared" si="94"/>
        <v>17.748310463112379</v>
      </c>
      <c r="U99" s="17">
        <f t="shared" si="94"/>
        <v>2.2177855187971978</v>
      </c>
      <c r="V99" s="17">
        <f t="shared" si="94"/>
        <v>1.9063257731971321</v>
      </c>
      <c r="W99" s="17">
        <f t="shared" si="94"/>
        <v>6.5710853013609754</v>
      </c>
      <c r="X99" s="17">
        <f t="shared" si="94"/>
        <v>3.6170681358616594</v>
      </c>
    </row>
    <row r="100" spans="1:24" ht="13.5" customHeight="1">
      <c r="A100" s="2">
        <f>MAX(C98:C101)</f>
        <v>87.132905771760264</v>
      </c>
      <c r="B100" s="5">
        <f>MAX(D98:D101)</f>
        <v>18.796547097641142</v>
      </c>
      <c r="C100" s="2">
        <f>0.1*H$50*((7*H$28^2+14*H$28*H$32+85*H$32^2)*(D100+F100)+14*(H$28^2*D100+H$32^2*F100))/(120*(H$28+H$32))</f>
        <v>87.043553285046073</v>
      </c>
      <c r="D100" s="5">
        <f>F100+0.0001*H100</f>
        <v>18.777053824210842</v>
      </c>
      <c r="E100" s="2">
        <f>IF(ABS(B99)&lt;1,E99+B99*(E99-E98),E99)</f>
        <v>-9.4271407443818909</v>
      </c>
      <c r="F100" s="5">
        <f>0.0001*SUM(I100:X100)</f>
        <v>17.682631428133167</v>
      </c>
      <c r="G100" s="17">
        <f t="shared" si="93"/>
        <v>12020.027689007284</v>
      </c>
      <c r="H100" s="17">
        <f t="shared" si="93"/>
        <v>10944.223960776764</v>
      </c>
      <c r="I100" s="17">
        <f t="shared" si="93"/>
        <v>9929.1753799860981</v>
      </c>
      <c r="J100" s="17">
        <f t="shared" si="93"/>
        <v>8978.559586739937</v>
      </c>
      <c r="K100" s="17">
        <f t="shared" si="93"/>
        <v>8045.5400989366799</v>
      </c>
      <c r="L100" s="17">
        <f t="shared" si="93"/>
        <v>139072.78427863389</v>
      </c>
      <c r="M100" s="17">
        <f t="shared" si="93"/>
        <v>10541.613812050606</v>
      </c>
      <c r="N100" s="17">
        <f t="shared" si="93"/>
        <v>116.28697658757586</v>
      </c>
      <c r="O100" s="17">
        <f t="shared" si="93"/>
        <v>15.704282094387874</v>
      </c>
      <c r="P100" s="17">
        <f t="shared" si="93"/>
        <v>24.284921363771872</v>
      </c>
      <c r="Q100" s="17">
        <f t="shared" si="94"/>
        <v>50.593939742956948</v>
      </c>
      <c r="R100" s="17">
        <f t="shared" si="94"/>
        <v>11.343994036976447</v>
      </c>
      <c r="S100" s="17">
        <f t="shared" si="94"/>
        <v>6.4153298168385158</v>
      </c>
      <c r="T100" s="17">
        <f t="shared" si="94"/>
        <v>18.988652591845124</v>
      </c>
      <c r="U100" s="17">
        <f t="shared" si="94"/>
        <v>2.3464143393493866</v>
      </c>
      <c r="V100" s="17">
        <f t="shared" si="94"/>
        <v>2.0112820832602623</v>
      </c>
      <c r="W100" s="17">
        <f t="shared" si="94"/>
        <v>6.8940140936795524</v>
      </c>
      <c r="X100" s="17">
        <f t="shared" si="94"/>
        <v>3.7713182338066211</v>
      </c>
    </row>
    <row r="101" spans="1:24" ht="13.5" customHeight="1">
      <c r="A101" s="2"/>
      <c r="B101" s="2"/>
      <c r="C101" s="2">
        <f>0.1*H$50*((7*H$28^2+14*H$28*H$32+85*H$32^2)*(D101+F101)+14*(H$28^2*D101+H$32^2*F101))/(120*(H$28+H$32))</f>
        <v>87.132905771760264</v>
      </c>
      <c r="D101" s="5">
        <f t="shared" si="96"/>
        <v>18.796547097641142</v>
      </c>
      <c r="E101" s="2">
        <v>0</v>
      </c>
      <c r="F101" s="5">
        <f>0.0001*SUM(I101:X101)</f>
        <v>17.700574445855658</v>
      </c>
      <c r="G101" s="17">
        <f t="shared" si="93"/>
        <v>12030.974944653904</v>
      </c>
      <c r="H101" s="17">
        <f t="shared" si="93"/>
        <v>10959.726517854848</v>
      </c>
      <c r="I101" s="17">
        <f t="shared" si="93"/>
        <v>9949.1136421652045</v>
      </c>
      <c r="J101" s="17">
        <f t="shared" si="93"/>
        <v>9002.2823211956438</v>
      </c>
      <c r="K101" s="17">
        <f t="shared" si="93"/>
        <v>8071.8282798609343</v>
      </c>
      <c r="L101" s="17">
        <f t="shared" si="93"/>
        <v>138154.00921237413</v>
      </c>
      <c r="M101" s="17">
        <f t="shared" si="93"/>
        <v>11559.227413291874</v>
      </c>
      <c r="N101" s="17">
        <f t="shared" si="93"/>
        <v>122.34056513627286</v>
      </c>
      <c r="O101" s="17">
        <f t="shared" si="93"/>
        <v>16.378550328266762</v>
      </c>
      <c r="P101" s="17">
        <f t="shared" si="93"/>
        <v>25.265601353401372</v>
      </c>
      <c r="Q101" s="17">
        <f t="shared" si="94"/>
        <v>52.330213289823348</v>
      </c>
      <c r="R101" s="17">
        <f t="shared" si="94"/>
        <v>11.675713784778791</v>
      </c>
      <c r="S101" s="17">
        <f t="shared" si="94"/>
        <v>6.5893986015062849</v>
      </c>
      <c r="T101" s="17">
        <f t="shared" si="94"/>
        <v>19.43117564003931</v>
      </c>
      <c r="U101" s="17">
        <f t="shared" si="94"/>
        <v>2.3918326782195827</v>
      </c>
      <c r="V101" s="17">
        <f t="shared" si="94"/>
        <v>2.0482501296585705</v>
      </c>
      <c r="W101" s="17">
        <f t="shared" si="94"/>
        <v>7.0072088546415587</v>
      </c>
      <c r="X101" s="17">
        <f t="shared" si="94"/>
        <v>3.8250798722143138</v>
      </c>
    </row>
    <row r="102" spans="1:24" ht="13.5" customHeight="1">
      <c r="A102" s="2"/>
      <c r="B102" s="2"/>
      <c r="C102" s="2">
        <f>0.1*I$50*((7*I$28^2+14*I$28*I$32+85*I$32^2)*(D102+F102)+14*(I$28^2*D102+I$32^2*F102))/(120*(I$28+I$32))</f>
        <v>78.035947295667114</v>
      </c>
      <c r="D102" s="5">
        <f>F102+0.0001*I102</f>
        <v>15.966289984090437</v>
      </c>
      <c r="E102" s="2">
        <v>-75</v>
      </c>
      <c r="F102" s="5">
        <f>0.0001*SUM(J102:X102)</f>
        <v>15.33286036407509</v>
      </c>
      <c r="G102" s="17">
        <f t="shared" si="93"/>
        <v>8175.2669513999699</v>
      </c>
      <c r="H102" s="17">
        <f t="shared" si="93"/>
        <v>7147.2849042919142</v>
      </c>
      <c r="I102" s="17">
        <f t="shared" si="93"/>
        <v>6334.2962001534625</v>
      </c>
      <c r="J102" s="17">
        <f t="shared" si="93"/>
        <v>5668.9803019084648</v>
      </c>
      <c r="K102" s="17">
        <f t="shared" si="93"/>
        <v>5079.0537951789829</v>
      </c>
      <c r="L102" s="17">
        <f t="shared" si="93"/>
        <v>136648.34085537019</v>
      </c>
      <c r="M102" s="17">
        <f t="shared" si="93"/>
        <v>5733.3762286609099</v>
      </c>
      <c r="N102" s="17">
        <f t="shared" si="93"/>
        <v>83.4655181353817</v>
      </c>
      <c r="O102" s="17">
        <f t="shared" si="93"/>
        <v>11.897098282222307</v>
      </c>
      <c r="P102" s="17">
        <f t="shared" si="93"/>
        <v>18.684846931211155</v>
      </c>
      <c r="Q102" s="17">
        <f t="shared" si="94"/>
        <v>40.409010941514097</v>
      </c>
      <c r="R102" s="17">
        <f t="shared" si="94"/>
        <v>9.3502503856788817</v>
      </c>
      <c r="S102" s="17">
        <f t="shared" si="94"/>
        <v>5.3588108353006261</v>
      </c>
      <c r="T102" s="17">
        <f t="shared" si="94"/>
        <v>16.25514930437982</v>
      </c>
      <c r="U102" s="17">
        <f t="shared" si="94"/>
        <v>2.060204110041973</v>
      </c>
      <c r="V102" s="17">
        <f t="shared" si="94"/>
        <v>1.7772026504499414</v>
      </c>
      <c r="W102" s="17">
        <f t="shared" si="94"/>
        <v>6.1705073341538741</v>
      </c>
      <c r="X102" s="17">
        <f t="shared" si="94"/>
        <v>3.4238607220121349</v>
      </c>
    </row>
    <row r="103" spans="1:24" ht="13.5" customHeight="1">
      <c r="A103" s="2"/>
      <c r="B103" s="5">
        <f>0.5*(D102-D105)/(D102-2*D103+D105)</f>
        <v>0.78882601435898525</v>
      </c>
      <c r="C103" s="2">
        <f>0.1*I$50*((7*I$28^2+14*I$28*I$32+85*I$32^2)*(D103+F103)+14*(I$28^2*D103+I$32^2*F103))/(120*(I$28+I$32))</f>
        <v>84.290400277408509</v>
      </c>
      <c r="D103" s="5">
        <f t="shared" ref="D103:D105" si="97">F103+0.0001*I103</f>
        <v>17.383073210007463</v>
      </c>
      <c r="E103" s="2">
        <v>-37.5</v>
      </c>
      <c r="F103" s="5">
        <f>0.0001*SUM(J103:X103)</f>
        <v>16.429950486063539</v>
      </c>
      <c r="G103" s="17">
        <f t="shared" si="93"/>
        <v>11784.295785284059</v>
      </c>
      <c r="H103" s="17">
        <f t="shared" si="93"/>
        <v>10621.955332450651</v>
      </c>
      <c r="I103" s="17">
        <f t="shared" si="93"/>
        <v>9531.2272394392421</v>
      </c>
      <c r="J103" s="17">
        <f t="shared" si="93"/>
        <v>8525.2535197454545</v>
      </c>
      <c r="K103" s="17">
        <f t="shared" si="93"/>
        <v>7564.6897843125325</v>
      </c>
      <c r="L103" s="17">
        <f t="shared" si="93"/>
        <v>139919.17438529211</v>
      </c>
      <c r="M103" s="17">
        <f t="shared" si="93"/>
        <v>8060.1072048773312</v>
      </c>
      <c r="N103" s="17">
        <f t="shared" si="93"/>
        <v>100.45354940465612</v>
      </c>
      <c r="O103" s="17">
        <f t="shared" si="93"/>
        <v>13.901736826266124</v>
      </c>
      <c r="P103" s="17">
        <f t="shared" si="93"/>
        <v>21.647439387610131</v>
      </c>
      <c r="Q103" s="17">
        <f t="shared" si="94"/>
        <v>45.857404204220266</v>
      </c>
      <c r="R103" s="17">
        <f t="shared" si="94"/>
        <v>10.427389582937927</v>
      </c>
      <c r="S103" s="17">
        <f t="shared" si="94"/>
        <v>5.9318718099335452</v>
      </c>
      <c r="T103" s="17">
        <f t="shared" si="94"/>
        <v>17.748310463112379</v>
      </c>
      <c r="U103" s="17">
        <f t="shared" si="94"/>
        <v>2.2177855187971978</v>
      </c>
      <c r="V103" s="17">
        <f t="shared" si="94"/>
        <v>1.9063257731971321</v>
      </c>
      <c r="W103" s="17">
        <f t="shared" si="94"/>
        <v>6.5710853013609754</v>
      </c>
      <c r="X103" s="17">
        <f t="shared" si="94"/>
        <v>3.6170681358616594</v>
      </c>
    </row>
    <row r="104" spans="1:24" ht="13.5" customHeight="1">
      <c r="A104" s="2">
        <f>MAX(C102:C105)</f>
        <v>85.767954719176927</v>
      </c>
      <c r="B104" s="5">
        <f>MAX(D102:D105)</f>
        <v>17.700574445855658</v>
      </c>
      <c r="C104" s="2">
        <f>0.1*I$50*((7*I$28^2+14*I$28*I$32+85*I$32^2)*(D104+F104)+14*(I$28^2*D104+I$32^2*F104))/(120*(I$28+I$32))</f>
        <v>85.70871715261768</v>
      </c>
      <c r="D104" s="5">
        <f>F104+0.0001*I104</f>
        <v>17.687992516725757</v>
      </c>
      <c r="E104" s="2">
        <f>IF(ABS(B103)&lt;1,E103+B103*(E103-E102),E103)</f>
        <v>-7.9190244615380543</v>
      </c>
      <c r="F104" s="5">
        <f>0.0001*SUM(J104:X104)</f>
        <v>16.694467789285365</v>
      </c>
      <c r="G104" s="17">
        <f t="shared" ref="G104:P113" si="98">200*PI()*G$50*((G$24-$E104)*(ASINH(G$32/MAX(ABS(G$24-$E104),0.000001))-ASINH(G$28/MAX(ABS(G$24-$E104),0.000001)))-(G$22-$E104)*(ASINH(G$32/MAX(ABS(G$22-$E104),0.000001))-ASINH(G$28/MAX(ABS(G$22-$E104),0.000001))))</f>
        <v>12023.369841285261</v>
      </c>
      <c r="H104" s="17">
        <f t="shared" si="98"/>
        <v>10948.951478944928</v>
      </c>
      <c r="I104" s="17">
        <f t="shared" si="98"/>
        <v>9935.2472744039187</v>
      </c>
      <c r="J104" s="17">
        <f t="shared" si="98"/>
        <v>8985.7729142735516</v>
      </c>
      <c r="K104" s="17">
        <f t="shared" si="98"/>
        <v>8053.5205764979128</v>
      </c>
      <c r="L104" s="17">
        <f t="shared" si="98"/>
        <v>138947.5179495964</v>
      </c>
      <c r="M104" s="17">
        <f t="shared" si="98"/>
        <v>10697.563523344952</v>
      </c>
      <c r="N104" s="17">
        <f t="shared" si="98"/>
        <v>117.22835410745344</v>
      </c>
      <c r="O104" s="17">
        <f t="shared" si="98"/>
        <v>15.809651411060779</v>
      </c>
      <c r="P104" s="17">
        <f t="shared" si="98"/>
        <v>24.438379228365061</v>
      </c>
      <c r="Q104" s="17">
        <f t="shared" ref="Q104:X113" si="99">200*PI()*Q$50*((Q$24-$E104)*(ASINH(Q$32/MAX(ABS(Q$24-$E104),0.000001))-ASINH(Q$28/MAX(ABS(Q$24-$E104),0.000001)))-(Q$22-$E104)*(ASINH(Q$32/MAX(ABS(Q$22-$E104),0.000001))-ASINH(Q$28/MAX(ABS(Q$22-$E104),0.000001))))</f>
        <v>50.866490579359962</v>
      </c>
      <c r="R104" s="17">
        <f t="shared" si="99"/>
        <v>11.396213058245328</v>
      </c>
      <c r="S104" s="17">
        <f t="shared" si="99"/>
        <v>6.4427623597210788</v>
      </c>
      <c r="T104" s="17">
        <f t="shared" si="99"/>
        <v>19.058531517341649</v>
      </c>
      <c r="U104" s="17">
        <f t="shared" si="99"/>
        <v>2.3536025632535069</v>
      </c>
      <c r="V104" s="17">
        <f t="shared" si="99"/>
        <v>2.0171360429582466</v>
      </c>
      <c r="W104" s="17">
        <f t="shared" si="99"/>
        <v>6.9119574149698559</v>
      </c>
      <c r="X104" s="17">
        <f t="shared" si="99"/>
        <v>3.7798508581052781</v>
      </c>
    </row>
    <row r="105" spans="1:24" ht="13.5" customHeight="1">
      <c r="A105" s="2"/>
      <c r="B105" s="2"/>
      <c r="C105" s="2">
        <f>0.1*I$50*((7*I$28^2+14*I$28*I$32+85*I$32^2)*(D105+F105)+14*(I$28^2*D105+I$32^2*F105))/(120*(I$28+I$32))</f>
        <v>85.767954719176927</v>
      </c>
      <c r="D105" s="5">
        <f t="shared" si="97"/>
        <v>17.700574445855658</v>
      </c>
      <c r="E105" s="2">
        <v>0</v>
      </c>
      <c r="F105" s="5">
        <f>0.0001*SUM(J105:X105)</f>
        <v>16.705663081639138</v>
      </c>
      <c r="G105" s="17">
        <f t="shared" si="98"/>
        <v>12030.974944653904</v>
      </c>
      <c r="H105" s="17">
        <f t="shared" si="98"/>
        <v>10959.726517854848</v>
      </c>
      <c r="I105" s="17">
        <f t="shared" si="98"/>
        <v>9949.1136421652045</v>
      </c>
      <c r="J105" s="17">
        <f t="shared" si="98"/>
        <v>9002.2823211956438</v>
      </c>
      <c r="K105" s="17">
        <f t="shared" si="98"/>
        <v>8071.8282798609343</v>
      </c>
      <c r="L105" s="17">
        <f t="shared" si="98"/>
        <v>138154.00921237413</v>
      </c>
      <c r="M105" s="17">
        <f t="shared" si="98"/>
        <v>11559.227413291874</v>
      </c>
      <c r="N105" s="17">
        <f t="shared" si="98"/>
        <v>122.34056513627286</v>
      </c>
      <c r="O105" s="17">
        <f t="shared" si="98"/>
        <v>16.378550328266762</v>
      </c>
      <c r="P105" s="17">
        <f t="shared" si="98"/>
        <v>25.265601353401372</v>
      </c>
      <c r="Q105" s="17">
        <f t="shared" si="99"/>
        <v>52.330213289823348</v>
      </c>
      <c r="R105" s="17">
        <f t="shared" si="99"/>
        <v>11.675713784778791</v>
      </c>
      <c r="S105" s="17">
        <f t="shared" si="99"/>
        <v>6.5893986015062849</v>
      </c>
      <c r="T105" s="17">
        <f t="shared" si="99"/>
        <v>19.43117564003931</v>
      </c>
      <c r="U105" s="17">
        <f t="shared" si="99"/>
        <v>2.3918326782195827</v>
      </c>
      <c r="V105" s="17">
        <f t="shared" si="99"/>
        <v>2.0482501296585705</v>
      </c>
      <c r="W105" s="17">
        <f t="shared" si="99"/>
        <v>7.0072088546415587</v>
      </c>
      <c r="X105" s="17">
        <f t="shared" si="99"/>
        <v>3.8250798722143138</v>
      </c>
    </row>
    <row r="106" spans="1:24" ht="13.5" customHeight="1">
      <c r="A106" s="2"/>
      <c r="B106" s="2"/>
      <c r="C106" s="2">
        <f>0.1*J$50*((7*J$28^2+14*J$28*J$32+85*J$32^2)*(D106+F106)+14*(J$28^2*D106+J$32^2*F106))/(120*(J$28+J$32))</f>
        <v>77.038420961917126</v>
      </c>
      <c r="D106" s="5">
        <f>F106+0.0001*J106</f>
        <v>15.33286036407509</v>
      </c>
      <c r="E106" s="2">
        <v>-75</v>
      </c>
      <c r="F106" s="5">
        <f>0.0001*SUM(K106:X106)</f>
        <v>14.765962333884243</v>
      </c>
      <c r="G106" s="17">
        <f t="shared" si="98"/>
        <v>8175.2669513999699</v>
      </c>
      <c r="H106" s="17">
        <f t="shared" si="98"/>
        <v>7147.2849042919142</v>
      </c>
      <c r="I106" s="17">
        <f t="shared" si="98"/>
        <v>6334.2962001534625</v>
      </c>
      <c r="J106" s="17">
        <f t="shared" si="98"/>
        <v>5668.9803019084648</v>
      </c>
      <c r="K106" s="17">
        <f t="shared" si="98"/>
        <v>5079.0537951789829</v>
      </c>
      <c r="L106" s="17">
        <f t="shared" si="98"/>
        <v>136648.34085537019</v>
      </c>
      <c r="M106" s="17">
        <f t="shared" si="98"/>
        <v>5733.3762286609099</v>
      </c>
      <c r="N106" s="17">
        <f t="shared" si="98"/>
        <v>83.4655181353817</v>
      </c>
      <c r="O106" s="17">
        <f t="shared" si="98"/>
        <v>11.897098282222307</v>
      </c>
      <c r="P106" s="17">
        <f t="shared" si="98"/>
        <v>18.684846931211155</v>
      </c>
      <c r="Q106" s="17">
        <f t="shared" si="99"/>
        <v>40.409010941514097</v>
      </c>
      <c r="R106" s="17">
        <f t="shared" si="99"/>
        <v>9.3502503856788817</v>
      </c>
      <c r="S106" s="17">
        <f t="shared" si="99"/>
        <v>5.3588108353006261</v>
      </c>
      <c r="T106" s="17">
        <f t="shared" si="99"/>
        <v>16.25514930437982</v>
      </c>
      <c r="U106" s="17">
        <f t="shared" si="99"/>
        <v>2.060204110041973</v>
      </c>
      <c r="V106" s="17">
        <f t="shared" si="99"/>
        <v>1.7772026504499414</v>
      </c>
      <c r="W106" s="17">
        <f t="shared" si="99"/>
        <v>6.1705073341538741</v>
      </c>
      <c r="X106" s="17">
        <f t="shared" si="99"/>
        <v>3.4238607220121349</v>
      </c>
    </row>
    <row r="107" spans="1:24" ht="13.5" customHeight="1">
      <c r="A107" s="2"/>
      <c r="B107" s="5">
        <f>0.5*(D106-D109)/(D106-2*D107+D109)</f>
        <v>0.83567097553751979</v>
      </c>
      <c r="C107" s="2">
        <f>0.1*J$50*((7*J$28^2+14*J$28*J$32+85*J$32^2)*(D107+F107)+14*(J$28^2*D107+J$32^2*F107))/(120*(J$28+J$32))</f>
        <v>81.911995384086723</v>
      </c>
      <c r="D107" s="5">
        <f t="shared" ref="D107:D109" si="100">F107+0.0001*J107</f>
        <v>16.429950486063539</v>
      </c>
      <c r="E107" s="2">
        <v>-37.5</v>
      </c>
      <c r="F107" s="5">
        <f>0.0001*SUM(K107:X107)</f>
        <v>15.577425134088994</v>
      </c>
      <c r="G107" s="17">
        <f t="shared" si="98"/>
        <v>11784.295785284059</v>
      </c>
      <c r="H107" s="17">
        <f t="shared" si="98"/>
        <v>10621.955332450651</v>
      </c>
      <c r="I107" s="17">
        <f t="shared" si="98"/>
        <v>9531.2272394392421</v>
      </c>
      <c r="J107" s="17">
        <f t="shared" si="98"/>
        <v>8525.2535197454545</v>
      </c>
      <c r="K107" s="17">
        <f t="shared" si="98"/>
        <v>7564.6897843125325</v>
      </c>
      <c r="L107" s="17">
        <f t="shared" si="98"/>
        <v>139919.17438529211</v>
      </c>
      <c r="M107" s="17">
        <f t="shared" si="98"/>
        <v>8060.1072048773312</v>
      </c>
      <c r="N107" s="17">
        <f t="shared" si="98"/>
        <v>100.45354940465612</v>
      </c>
      <c r="O107" s="17">
        <f t="shared" si="98"/>
        <v>13.901736826266124</v>
      </c>
      <c r="P107" s="17">
        <f t="shared" si="98"/>
        <v>21.647439387610131</v>
      </c>
      <c r="Q107" s="17">
        <f t="shared" si="99"/>
        <v>45.857404204220266</v>
      </c>
      <c r="R107" s="17">
        <f t="shared" si="99"/>
        <v>10.427389582937927</v>
      </c>
      <c r="S107" s="17">
        <f t="shared" si="99"/>
        <v>5.9318718099335452</v>
      </c>
      <c r="T107" s="17">
        <f t="shared" si="99"/>
        <v>17.748310463112379</v>
      </c>
      <c r="U107" s="17">
        <f t="shared" si="99"/>
        <v>2.2177855187971978</v>
      </c>
      <c r="V107" s="17">
        <f t="shared" si="99"/>
        <v>1.9063257731971321</v>
      </c>
      <c r="W107" s="17">
        <f t="shared" si="99"/>
        <v>6.5710853013609754</v>
      </c>
      <c r="X107" s="17">
        <f t="shared" si="99"/>
        <v>3.6170681358616594</v>
      </c>
    </row>
    <row r="108" spans="1:24" ht="13.5" customHeight="1">
      <c r="A108" s="2">
        <f>MAX(C106:C109)</f>
        <v>83.199536271974495</v>
      </c>
      <c r="B108" s="5">
        <f>MAX(D106:D109)</f>
        <v>16.705663081639138</v>
      </c>
      <c r="C108" s="2">
        <f>0.1*J$50*((7*J$28^2+14*J$28*J$32+85*J$32^2)*(D108+F108)+14*(J$28^2*D108+J$32^2*F108))/(120*(J$28+J$32))</f>
        <v>83.16765142910657</v>
      </c>
      <c r="D108" s="5">
        <f t="shared" si="100"/>
        <v>16.698938625595563</v>
      </c>
      <c r="E108" s="2">
        <f>IF(ABS(B107)&lt;1,E107+B107*(E107-E106),E107)</f>
        <v>-6.1623384173430082</v>
      </c>
      <c r="F108" s="5">
        <f>0.0001*SUM(K108:X108)</f>
        <v>15.799688675630897</v>
      </c>
      <c r="G108" s="17">
        <f t="shared" si="98"/>
        <v>12026.475869952219</v>
      </c>
      <c r="H108" s="17">
        <f t="shared" si="98"/>
        <v>10953.349207161216</v>
      </c>
      <c r="I108" s="17">
        <f t="shared" si="98"/>
        <v>9940.9021217575955</v>
      </c>
      <c r="J108" s="17">
        <f t="shared" si="98"/>
        <v>8992.4994996466467</v>
      </c>
      <c r="K108" s="17">
        <f t="shared" si="98"/>
        <v>8060.9726993395216</v>
      </c>
      <c r="L108" s="17">
        <f t="shared" si="98"/>
        <v>138791.21542234035</v>
      </c>
      <c r="M108" s="17">
        <f t="shared" si="98"/>
        <v>10882.440756110733</v>
      </c>
      <c r="N108" s="17">
        <f t="shared" si="98"/>
        <v>118.33764672579456</v>
      </c>
      <c r="O108" s="17">
        <f t="shared" si="98"/>
        <v>15.933569222061172</v>
      </c>
      <c r="P108" s="17">
        <f t="shared" si="98"/>
        <v>24.61875288342976</v>
      </c>
      <c r="Q108" s="17">
        <f t="shared" si="99"/>
        <v>51.186435642018751</v>
      </c>
      <c r="R108" s="17">
        <f t="shared" si="99"/>
        <v>11.457441985278784</v>
      </c>
      <c r="S108" s="17">
        <f t="shared" si="99"/>
        <v>6.4749134028678679</v>
      </c>
      <c r="T108" s="17">
        <f t="shared" si="99"/>
        <v>19.140363271272889</v>
      </c>
      <c r="U108" s="17">
        <f t="shared" si="99"/>
        <v>2.3620125747952163</v>
      </c>
      <c r="V108" s="17">
        <f t="shared" si="99"/>
        <v>2.0239835018195085</v>
      </c>
      <c r="W108" s="17">
        <f t="shared" si="99"/>
        <v>6.9329370048129562</v>
      </c>
      <c r="X108" s="17">
        <f t="shared" si="99"/>
        <v>3.7898223042211572</v>
      </c>
    </row>
    <row r="109" spans="1:24" ht="13.5" customHeight="1">
      <c r="A109" s="2"/>
      <c r="B109" s="2"/>
      <c r="C109" s="2">
        <f>0.1*J$50*((7*J$28^2+14*J$28*J$32+85*J$32^2)*(D109+F109)+14*(J$28^2*D109+J$32^2*F109))/(120*(J$28+J$32))</f>
        <v>83.199536271974495</v>
      </c>
      <c r="D109" s="5">
        <f t="shared" si="100"/>
        <v>16.705663081639138</v>
      </c>
      <c r="E109" s="2">
        <v>0</v>
      </c>
      <c r="F109" s="5">
        <f>0.0001*SUM(K109:X109)</f>
        <v>15.805434849519575</v>
      </c>
      <c r="G109" s="17">
        <f t="shared" si="98"/>
        <v>12030.974944653904</v>
      </c>
      <c r="H109" s="17">
        <f t="shared" si="98"/>
        <v>10959.726517854848</v>
      </c>
      <c r="I109" s="17">
        <f t="shared" si="98"/>
        <v>9949.1136421652045</v>
      </c>
      <c r="J109" s="17">
        <f t="shared" si="98"/>
        <v>9002.2823211956438</v>
      </c>
      <c r="K109" s="17">
        <f t="shared" si="98"/>
        <v>8071.8282798609343</v>
      </c>
      <c r="L109" s="17">
        <f t="shared" si="98"/>
        <v>138154.00921237413</v>
      </c>
      <c r="M109" s="17">
        <f t="shared" si="98"/>
        <v>11559.227413291874</v>
      </c>
      <c r="N109" s="17">
        <f t="shared" si="98"/>
        <v>122.34056513627286</v>
      </c>
      <c r="O109" s="17">
        <f t="shared" si="98"/>
        <v>16.378550328266762</v>
      </c>
      <c r="P109" s="17">
        <f t="shared" si="98"/>
        <v>25.265601353401372</v>
      </c>
      <c r="Q109" s="17">
        <f t="shared" si="99"/>
        <v>52.330213289823348</v>
      </c>
      <c r="R109" s="17">
        <f t="shared" si="99"/>
        <v>11.675713784778791</v>
      </c>
      <c r="S109" s="17">
        <f t="shared" si="99"/>
        <v>6.5893986015062849</v>
      </c>
      <c r="T109" s="17">
        <f t="shared" si="99"/>
        <v>19.43117564003931</v>
      </c>
      <c r="U109" s="17">
        <f t="shared" si="99"/>
        <v>2.3918326782195827</v>
      </c>
      <c r="V109" s="17">
        <f t="shared" si="99"/>
        <v>2.0482501296585705</v>
      </c>
      <c r="W109" s="17">
        <f t="shared" si="99"/>
        <v>7.0072088546415587</v>
      </c>
      <c r="X109" s="17">
        <f t="shared" si="99"/>
        <v>3.8250798722143138</v>
      </c>
    </row>
    <row r="110" spans="1:24" ht="13.5" customHeight="1">
      <c r="A110" s="2"/>
      <c r="B110" s="2"/>
      <c r="C110" s="2">
        <f>0.1*K$50*((7*K$28^2+14*K$28*K$32+85*K$32^2)*(D110+F110)+14*(K$28^2*D110+K$32^2*F110))/(120*(K$28+K$32))</f>
        <v>74.652861936147332</v>
      </c>
      <c r="D110" s="5">
        <f>F110+0.0001*K110</f>
        <v>14.765962333884243</v>
      </c>
      <c r="E110" s="2">
        <v>-75</v>
      </c>
      <c r="F110" s="5">
        <f>0.0001*SUM(L110:X110)</f>
        <v>14.258056954366344</v>
      </c>
      <c r="G110" s="17">
        <f t="shared" si="98"/>
        <v>8175.2669513999699</v>
      </c>
      <c r="H110" s="17">
        <f t="shared" si="98"/>
        <v>7147.2849042919142</v>
      </c>
      <c r="I110" s="17">
        <f t="shared" si="98"/>
        <v>6334.2962001534625</v>
      </c>
      <c r="J110" s="17">
        <f t="shared" si="98"/>
        <v>5668.9803019084648</v>
      </c>
      <c r="K110" s="17">
        <f t="shared" si="98"/>
        <v>5079.0537951789829</v>
      </c>
      <c r="L110" s="17">
        <f t="shared" si="98"/>
        <v>136648.34085537019</v>
      </c>
      <c r="M110" s="17">
        <f t="shared" si="98"/>
        <v>5733.3762286609099</v>
      </c>
      <c r="N110" s="17">
        <f t="shared" si="98"/>
        <v>83.4655181353817</v>
      </c>
      <c r="O110" s="17">
        <f t="shared" si="98"/>
        <v>11.897098282222307</v>
      </c>
      <c r="P110" s="17">
        <f t="shared" si="98"/>
        <v>18.684846931211155</v>
      </c>
      <c r="Q110" s="17">
        <f t="shared" si="99"/>
        <v>40.409010941514097</v>
      </c>
      <c r="R110" s="17">
        <f t="shared" si="99"/>
        <v>9.3502503856788817</v>
      </c>
      <c r="S110" s="17">
        <f t="shared" si="99"/>
        <v>5.3588108353006261</v>
      </c>
      <c r="T110" s="17">
        <f t="shared" si="99"/>
        <v>16.25514930437982</v>
      </c>
      <c r="U110" s="17">
        <f t="shared" si="99"/>
        <v>2.060204110041973</v>
      </c>
      <c r="V110" s="17">
        <f t="shared" si="99"/>
        <v>1.7772026504499414</v>
      </c>
      <c r="W110" s="17">
        <f t="shared" si="99"/>
        <v>6.1705073341538741</v>
      </c>
      <c r="X110" s="17">
        <f t="shared" si="99"/>
        <v>3.4238607220121349</v>
      </c>
    </row>
    <row r="111" spans="1:24" ht="13.5" customHeight="1">
      <c r="A111" s="2"/>
      <c r="B111" s="5">
        <f>0.5*(D110-D113)/(D110-2*D111+D113)</f>
        <v>0.89079357257804792</v>
      </c>
      <c r="C111" s="2">
        <f>0.1*K$50*((7*K$28^2+14*K$28*K$32+85*K$32^2)*(D111+F111)+14*(K$28^2*D111+K$32^2*F111))/(120*(K$28+K$32))</f>
        <v>78.178379139841212</v>
      </c>
      <c r="D111" s="5">
        <f>F111+0.0001*K111</f>
        <v>15.577425134088994</v>
      </c>
      <c r="E111" s="2">
        <v>-37.5</v>
      </c>
      <c r="F111" s="5">
        <f>0.0001*SUM(L111:X111)</f>
        <v>14.82095615565774</v>
      </c>
      <c r="G111" s="17">
        <f t="shared" si="98"/>
        <v>11784.295785284059</v>
      </c>
      <c r="H111" s="17">
        <f t="shared" si="98"/>
        <v>10621.955332450651</v>
      </c>
      <c r="I111" s="17">
        <f t="shared" si="98"/>
        <v>9531.2272394392421</v>
      </c>
      <c r="J111" s="17">
        <f t="shared" si="98"/>
        <v>8525.2535197454545</v>
      </c>
      <c r="K111" s="17">
        <f t="shared" si="98"/>
        <v>7564.6897843125325</v>
      </c>
      <c r="L111" s="17">
        <f t="shared" si="98"/>
        <v>139919.17438529211</v>
      </c>
      <c r="M111" s="17">
        <f t="shared" si="98"/>
        <v>8060.1072048773312</v>
      </c>
      <c r="N111" s="17">
        <f t="shared" si="98"/>
        <v>100.45354940465612</v>
      </c>
      <c r="O111" s="17">
        <f t="shared" si="98"/>
        <v>13.901736826266124</v>
      </c>
      <c r="P111" s="17">
        <f t="shared" si="98"/>
        <v>21.647439387610131</v>
      </c>
      <c r="Q111" s="17">
        <f t="shared" si="99"/>
        <v>45.857404204220266</v>
      </c>
      <c r="R111" s="17">
        <f t="shared" si="99"/>
        <v>10.427389582937927</v>
      </c>
      <c r="S111" s="17">
        <f t="shared" si="99"/>
        <v>5.9318718099335452</v>
      </c>
      <c r="T111" s="17">
        <f t="shared" si="99"/>
        <v>17.748310463112379</v>
      </c>
      <c r="U111" s="17">
        <f t="shared" si="99"/>
        <v>2.2177855187971978</v>
      </c>
      <c r="V111" s="17">
        <f t="shared" si="99"/>
        <v>1.9063257731971321</v>
      </c>
      <c r="W111" s="17">
        <f t="shared" si="99"/>
        <v>6.5710853013609754</v>
      </c>
      <c r="X111" s="17">
        <f t="shared" si="99"/>
        <v>3.6170681358616594</v>
      </c>
    </row>
    <row r="112" spans="1:24" ht="13.5" customHeight="1">
      <c r="A112" s="2">
        <f>MAX(C110:C113)</f>
        <v>79.219024734269368</v>
      </c>
      <c r="B112" s="5">
        <f>MAX(D110:D113)</f>
        <v>15.805434849519575</v>
      </c>
      <c r="C112" s="2">
        <f>0.1*K$50*((7*K$28^2+14*K$28*K$32+85*K$32^2)*(D112+F112)+14*(K$28^2*D112+K$32^2*F112))/(120*(K$28+K$32))</f>
        <v>79.207315820044187</v>
      </c>
      <c r="D112" s="5">
        <f>F112+0.0001*K112</f>
        <v>15.802926404714361</v>
      </c>
      <c r="E112" s="2">
        <f>IF(ABS(B111)&lt;1,E111+B111*(E111-E110),E111)</f>
        <v>-4.0952410283232012</v>
      </c>
      <c r="F112" s="5">
        <f>0.0001*SUM(L112:X112)</f>
        <v>14.996201978497965</v>
      </c>
      <c r="G112" s="17">
        <f t="shared" si="98"/>
        <v>12029.078785024123</v>
      </c>
      <c r="H112" s="17">
        <f t="shared" si="98"/>
        <v>10957.037723501011</v>
      </c>
      <c r="I112" s="17">
        <f t="shared" si="98"/>
        <v>9945.6498889431605</v>
      </c>
      <c r="J112" s="17">
        <f t="shared" si="98"/>
        <v>8998.1535951659625</v>
      </c>
      <c r="K112" s="17">
        <f t="shared" si="98"/>
        <v>8067.2442621639666</v>
      </c>
      <c r="L112" s="17">
        <f t="shared" si="98"/>
        <v>138592.93040163734</v>
      </c>
      <c r="M112" s="17">
        <f t="shared" si="98"/>
        <v>11104.504213562795</v>
      </c>
      <c r="N112" s="17">
        <f t="shared" si="98"/>
        <v>119.66081130844344</v>
      </c>
      <c r="O112" s="17">
        <f t="shared" si="98"/>
        <v>16.081033005801523</v>
      </c>
      <c r="P112" s="17">
        <f t="shared" si="98"/>
        <v>24.833262877154297</v>
      </c>
      <c r="Q112" s="17">
        <f t="shared" si="99"/>
        <v>51.566358934949037</v>
      </c>
      <c r="R112" s="17">
        <f t="shared" si="99"/>
        <v>11.530050771996022</v>
      </c>
      <c r="S112" s="17">
        <f t="shared" si="99"/>
        <v>6.5130194402857899</v>
      </c>
      <c r="T112" s="17">
        <f t="shared" si="99"/>
        <v>19.237259220548115</v>
      </c>
      <c r="U112" s="17">
        <f t="shared" si="99"/>
        <v>2.3719599839330225</v>
      </c>
      <c r="V112" s="17">
        <f t="shared" si="99"/>
        <v>2.0320806274705872</v>
      </c>
      <c r="W112" s="17">
        <f t="shared" si="99"/>
        <v>6.9577329395971397</v>
      </c>
      <c r="X112" s="17">
        <f t="shared" si="99"/>
        <v>3.8016006693044959</v>
      </c>
    </row>
    <row r="113" spans="1:28" ht="13.5" customHeight="1">
      <c r="A113" s="2"/>
      <c r="B113" s="2"/>
      <c r="C113" s="2">
        <f>0.1*K$50*((7*K$28^2+14*K$28*K$32+85*K$32^2)*(D113+F113)+14*(K$28^2*D113+K$32^2*F113))/(120*(K$28+K$32))</f>
        <v>79.219024734269368</v>
      </c>
      <c r="D113" s="5">
        <f>F113+0.0001*K113</f>
        <v>15.805434849519575</v>
      </c>
      <c r="E113" s="2">
        <v>0</v>
      </c>
      <c r="F113" s="5">
        <f>0.0001*SUM(L113:X113)</f>
        <v>14.998252021533482</v>
      </c>
      <c r="G113" s="17">
        <f t="shared" si="98"/>
        <v>12030.974944653904</v>
      </c>
      <c r="H113" s="17">
        <f t="shared" si="98"/>
        <v>10959.726517854848</v>
      </c>
      <c r="I113" s="17">
        <f t="shared" si="98"/>
        <v>9949.1136421652045</v>
      </c>
      <c r="J113" s="17">
        <f t="shared" si="98"/>
        <v>9002.2823211956438</v>
      </c>
      <c r="K113" s="17">
        <f t="shared" si="98"/>
        <v>8071.8282798609343</v>
      </c>
      <c r="L113" s="17">
        <f t="shared" si="98"/>
        <v>138154.00921237413</v>
      </c>
      <c r="M113" s="17">
        <f t="shared" si="98"/>
        <v>11559.227413291874</v>
      </c>
      <c r="N113" s="17">
        <f t="shared" si="98"/>
        <v>122.34056513627286</v>
      </c>
      <c r="O113" s="17">
        <f t="shared" si="98"/>
        <v>16.378550328266762</v>
      </c>
      <c r="P113" s="17">
        <f t="shared" si="98"/>
        <v>25.265601353401372</v>
      </c>
      <c r="Q113" s="17">
        <f t="shared" si="99"/>
        <v>52.330213289823348</v>
      </c>
      <c r="R113" s="17">
        <f t="shared" si="99"/>
        <v>11.675713784778791</v>
      </c>
      <c r="S113" s="17">
        <f t="shared" si="99"/>
        <v>6.5893986015062849</v>
      </c>
      <c r="T113" s="17">
        <f t="shared" si="99"/>
        <v>19.43117564003931</v>
      </c>
      <c r="U113" s="17">
        <f t="shared" si="99"/>
        <v>2.3918326782195827</v>
      </c>
      <c r="V113" s="17">
        <f t="shared" si="99"/>
        <v>2.0482501296585705</v>
      </c>
      <c r="W113" s="17">
        <f t="shared" si="99"/>
        <v>7.0072088546415587</v>
      </c>
      <c r="X113" s="17">
        <f t="shared" si="99"/>
        <v>3.8250798722143138</v>
      </c>
    </row>
    <row r="114" spans="1:28" ht="13.5" customHeight="1">
      <c r="A114" s="1"/>
      <c r="B114" s="2"/>
      <c r="C114" s="2">
        <f>0.1*L$50*((7*L$28^2+14*L$28*L$32+85*L$32^2)*(D114+F114)+14*(L$28^2*D114+L$32^2*F114))/(120*(L$28+L$32))</f>
        <v>178.80248946332253</v>
      </c>
      <c r="D114" s="5">
        <f t="shared" ref="D114:D134" si="101">0.0001*SUM(L114:X114)</f>
        <v>8.902532100996833</v>
      </c>
      <c r="E114" s="2">
        <f>L22</f>
        <v>-201.67519669805785</v>
      </c>
      <c r="F114" s="3">
        <v>0</v>
      </c>
      <c r="G114" s="17">
        <f t="shared" ref="G114:P123" si="102">200*PI()*G$50*((G$24-$E114)*(ASINH(G$32/MAX(ABS(G$24-$E114),0.000001))-ASINH(G$28/MAX(ABS(G$24-$E114),0.000001)))-(G$22-$E114)*(ASINH(G$32/MAX(ABS(G$22-$E114),0.000001))-ASINH(G$28/MAX(ABS(G$22-$E114),0.000001))))</f>
        <v>58.167114188688487</v>
      </c>
      <c r="H114" s="17">
        <f t="shared" si="102"/>
        <v>88.161642919040517</v>
      </c>
      <c r="I114" s="17">
        <f t="shared" si="102"/>
        <v>123.92864830740433</v>
      </c>
      <c r="J114" s="17">
        <f t="shared" si="102"/>
        <v>164.72131337601857</v>
      </c>
      <c r="K114" s="17">
        <f t="shared" si="102"/>
        <v>208.47628925311886</v>
      </c>
      <c r="L114" s="17">
        <f t="shared" si="102"/>
        <v>86756.104601004656</v>
      </c>
      <c r="M114" s="17">
        <f t="shared" si="102"/>
        <v>2140.8527369297526</v>
      </c>
      <c r="N114" s="17">
        <f t="shared" si="102"/>
        <v>47.96367227156216</v>
      </c>
      <c r="O114" s="17">
        <f t="shared" si="102"/>
        <v>7.4024165563985029</v>
      </c>
      <c r="P114" s="17">
        <f t="shared" si="102"/>
        <v>11.906242071736623</v>
      </c>
      <c r="Q114" s="17">
        <f t="shared" ref="Q114:X123" si="103">200*PI()*Q$50*((Q$24-$E114)*(ASINH(Q$32/MAX(ABS(Q$24-$E114),0.000001))-ASINH(Q$28/MAX(ABS(Q$24-$E114),0.000001)))-(Q$22-$E114)*(ASINH(Q$32/MAX(ABS(Q$22-$E114),0.000001))-ASINH(Q$28/MAX(ABS(Q$22-$E114),0.000001))))</f>
        <v>27.312042501610616</v>
      </c>
      <c r="R114" s="17">
        <f t="shared" si="103"/>
        <v>6.6428482414067735</v>
      </c>
      <c r="S114" s="17">
        <f t="shared" si="103"/>
        <v>3.8913782276554159</v>
      </c>
      <c r="T114" s="17">
        <f t="shared" si="103"/>
        <v>12.299527428194443</v>
      </c>
      <c r="U114" s="17">
        <f t="shared" si="103"/>
        <v>1.6264031605206553</v>
      </c>
      <c r="V114" s="17">
        <f t="shared" si="103"/>
        <v>1.418370401596144</v>
      </c>
      <c r="W114" s="17">
        <f t="shared" si="103"/>
        <v>5.0362230813475124</v>
      </c>
      <c r="X114" s="17">
        <f t="shared" si="103"/>
        <v>2.8645480918595934</v>
      </c>
    </row>
    <row r="115" spans="1:28" ht="13.5" customHeight="1">
      <c r="A115" s="2">
        <f>MAX(L$32,M$32)</f>
        <v>199.99401007577575</v>
      </c>
      <c r="B115" s="5">
        <f>0.5*(D114-D117)/(D114-2*D115+D117)</f>
        <v>0.2174270965968729</v>
      </c>
      <c r="C115" s="2">
        <f>0.1*L$50*((7*L$28^2+14*L$28*L$32+85*L$32^2)*(D115+F115)+14*(L$28^2*D115+L$32^2*F115))/(120*(L$28+L$32))</f>
        <v>298.66192300532521</v>
      </c>
      <c r="D115" s="5">
        <f t="shared" si="101"/>
        <v>14.870303902819861</v>
      </c>
      <c r="E115" s="2">
        <f>(E114+E117)/2</f>
        <v>-31.936530446680166</v>
      </c>
      <c r="F115" s="3">
        <v>0</v>
      </c>
      <c r="G115" s="17">
        <f t="shared" si="102"/>
        <v>11869.19127800728</v>
      </c>
      <c r="H115" s="17">
        <f t="shared" si="102"/>
        <v>10735.567676975228</v>
      </c>
      <c r="I115" s="17">
        <f t="shared" si="102"/>
        <v>9668.0882006467618</v>
      </c>
      <c r="J115" s="17">
        <f t="shared" si="102"/>
        <v>8677.0551359321307</v>
      </c>
      <c r="K115" s="17">
        <f t="shared" si="102"/>
        <v>7721.4482107089725</v>
      </c>
      <c r="L115" s="17">
        <f t="shared" si="102"/>
        <v>139974.06745881317</v>
      </c>
      <c r="M115" s="17">
        <f t="shared" si="102"/>
        <v>8493.4356818864126</v>
      </c>
      <c r="N115" s="17">
        <f t="shared" si="102"/>
        <v>103.35357613346363</v>
      </c>
      <c r="O115" s="17">
        <f t="shared" si="102"/>
        <v>14.236343992161281</v>
      </c>
      <c r="P115" s="17">
        <f t="shared" si="102"/>
        <v>22.138842683947367</v>
      </c>
      <c r="Q115" s="17">
        <f t="shared" si="103"/>
        <v>46.747615703757134</v>
      </c>
      <c r="R115" s="17">
        <f t="shared" si="103"/>
        <v>10.601010126496989</v>
      </c>
      <c r="S115" s="17">
        <f t="shared" si="103"/>
        <v>6.0237334072719406</v>
      </c>
      <c r="T115" s="17">
        <f t="shared" si="103"/>
        <v>17.985301306757027</v>
      </c>
      <c r="U115" s="17">
        <f t="shared" si="103"/>
        <v>2.2425171520355613</v>
      </c>
      <c r="V115" s="17">
        <f t="shared" si="103"/>
        <v>1.9265361350003791</v>
      </c>
      <c r="W115" s="17">
        <f t="shared" si="103"/>
        <v>6.6334506684218386</v>
      </c>
      <c r="X115" s="17">
        <f t="shared" si="103"/>
        <v>3.6469601896853456</v>
      </c>
    </row>
    <row r="116" spans="1:28" ht="13.5" customHeight="1">
      <c r="A116" s="2">
        <f>MAX(C114:C117)</f>
        <v>301.17027910408677</v>
      </c>
      <c r="B116" s="5">
        <f>MAX(D114:D117)</f>
        <v>14.995194337829922</v>
      </c>
      <c r="C116" s="2">
        <f>0.1*L$50*((7*L$28^2+14*L$28*L$32+85*L$32^2)*(D116+F116)+14*(L$28^2*D116+L$32^2*F116))/(120*(L$28+L$32))</f>
        <v>301.17027910408677</v>
      </c>
      <c r="D116" s="5">
        <f t="shared" si="101"/>
        <v>14.995194337829922</v>
      </c>
      <c r="E116" s="2">
        <f>IF(ABS(B115)&lt;1,E115+B115*(E115-E114),E115)</f>
        <v>4.9692549365825016</v>
      </c>
      <c r="F116" s="3">
        <v>0</v>
      </c>
      <c r="G116" s="17">
        <f t="shared" si="102"/>
        <v>12027.517362160468</v>
      </c>
      <c r="H116" s="17">
        <f t="shared" si="102"/>
        <v>10954.824732927189</v>
      </c>
      <c r="I116" s="17">
        <f t="shared" si="102"/>
        <v>9942.8008488316664</v>
      </c>
      <c r="J116" s="17">
        <f t="shared" si="102"/>
        <v>8994.759971912963</v>
      </c>
      <c r="K116" s="17">
        <f t="shared" si="102"/>
        <v>8063.4791957507086</v>
      </c>
      <c r="L116" s="17">
        <f t="shared" si="102"/>
        <v>137538.52628985507</v>
      </c>
      <c r="M116" s="17">
        <f t="shared" si="102"/>
        <v>12138.271101226097</v>
      </c>
      <c r="N116" s="17">
        <f t="shared" si="102"/>
        <v>125.69989523499601</v>
      </c>
      <c r="O116" s="17">
        <f t="shared" si="102"/>
        <v>16.749411613633264</v>
      </c>
      <c r="P116" s="17">
        <f t="shared" si="102"/>
        <v>25.803691231860093</v>
      </c>
      <c r="Q116" s="17">
        <f t="shared" si="103"/>
        <v>53.277470914598965</v>
      </c>
      <c r="R116" s="17">
        <f t="shared" si="103"/>
        <v>11.855763277213846</v>
      </c>
      <c r="S116" s="17">
        <f t="shared" si="103"/>
        <v>6.6836866531557719</v>
      </c>
      <c r="T116" s="17">
        <f t="shared" si="103"/>
        <v>19.670013232240521</v>
      </c>
      <c r="U116" s="17">
        <f t="shared" si="103"/>
        <v>2.416245478936768</v>
      </c>
      <c r="V116" s="17">
        <f t="shared" si="103"/>
        <v>2.0681014730334124</v>
      </c>
      <c r="W116" s="17">
        <f t="shared" si="103"/>
        <v>7.0678778607781858</v>
      </c>
      <c r="X116" s="17">
        <f t="shared" si="103"/>
        <v>3.8538302476645425</v>
      </c>
    </row>
    <row r="117" spans="1:28" ht="13.5" customHeight="1">
      <c r="A117" s="2"/>
      <c r="B117" s="2"/>
      <c r="C117" s="2">
        <f>0.1*L$50*((7*L$28^2+14*L$28*L$32+85*L$32^2)*(D117+F117)+14*(L$28^2*D117+L$32^2*F117))/(120*(L$28+L$32))</f>
        <v>251.45290581476164</v>
      </c>
      <c r="D117" s="5">
        <f t="shared" si="101"/>
        <v>12.519778514403978</v>
      </c>
      <c r="E117" s="2">
        <f>L24</f>
        <v>137.80213580469751</v>
      </c>
      <c r="F117" s="3">
        <v>0</v>
      </c>
      <c r="G117" s="17">
        <f t="shared" si="102"/>
        <v>278.9781932936059</v>
      </c>
      <c r="H117" s="17">
        <f t="shared" si="102"/>
        <v>407.78493334598721</v>
      </c>
      <c r="I117" s="17">
        <f t="shared" si="102"/>
        <v>547.54719245289323</v>
      </c>
      <c r="J117" s="17">
        <f t="shared" si="102"/>
        <v>688.9978903819291</v>
      </c>
      <c r="K117" s="17">
        <f t="shared" si="102"/>
        <v>819.09098493632791</v>
      </c>
      <c r="L117" s="17">
        <f t="shared" si="102"/>
        <v>86756.104601004656</v>
      </c>
      <c r="M117" s="17">
        <f t="shared" si="102"/>
        <v>37907.432512232772</v>
      </c>
      <c r="N117" s="17">
        <f t="shared" si="102"/>
        <v>287.55719047890057</v>
      </c>
      <c r="O117" s="17">
        <f t="shared" si="102"/>
        <v>32.629773644013461</v>
      </c>
      <c r="P117" s="17">
        <f t="shared" si="102"/>
        <v>48.153305430719165</v>
      </c>
      <c r="Q117" s="17">
        <f t="shared" si="103"/>
        <v>89.975121083559969</v>
      </c>
      <c r="R117" s="17">
        <f t="shared" si="103"/>
        <v>18.413964991903235</v>
      </c>
      <c r="S117" s="17">
        <f t="shared" si="103"/>
        <v>10.038331144377505</v>
      </c>
      <c r="T117" s="17">
        <f t="shared" si="103"/>
        <v>27.828996502340122</v>
      </c>
      <c r="U117" s="17">
        <f t="shared" si="103"/>
        <v>3.212870109470654</v>
      </c>
      <c r="V117" s="17">
        <f t="shared" si="103"/>
        <v>2.709053902833694</v>
      </c>
      <c r="W117" s="17">
        <f t="shared" si="103"/>
        <v>8.9873691115583387</v>
      </c>
      <c r="X117" s="17">
        <f t="shared" si="103"/>
        <v>4.7420544026698108</v>
      </c>
    </row>
    <row r="118" spans="1:28" ht="13.5" customHeight="1">
      <c r="A118" s="2"/>
      <c r="B118" s="2"/>
      <c r="C118" s="2">
        <f>0.1*M$50*((7*M$28^2+14*M$28*M$32+85*M$32^2)*(D118+F118)+14*(M$28^2*D118+M$32^2*F118))/(120*(M$28+M$32))</f>
        <v>245.06296863935566</v>
      </c>
      <c r="D118" s="5">
        <f t="shared" si="101"/>
        <v>12.519794182266148</v>
      </c>
      <c r="E118" s="2">
        <f>M22</f>
        <v>137.80172797263106</v>
      </c>
      <c r="F118" s="3">
        <v>0</v>
      </c>
      <c r="G118" s="17">
        <f t="shared" si="102"/>
        <v>278.98211280012492</v>
      </c>
      <c r="H118" s="17">
        <f t="shared" si="102"/>
        <v>407.7904180831344</v>
      </c>
      <c r="I118" s="17">
        <f t="shared" si="102"/>
        <v>547.55416115761079</v>
      </c>
      <c r="J118" s="17">
        <f t="shared" si="102"/>
        <v>689.00609699530605</v>
      </c>
      <c r="K118" s="17">
        <f t="shared" si="102"/>
        <v>819.1000247070275</v>
      </c>
      <c r="L118" s="17">
        <f t="shared" si="102"/>
        <v>86756.3356637541</v>
      </c>
      <c r="M118" s="17">
        <f t="shared" si="102"/>
        <v>37907.359384245035</v>
      </c>
      <c r="N118" s="17">
        <f t="shared" si="102"/>
        <v>287.55635589188552</v>
      </c>
      <c r="O118" s="17">
        <f t="shared" si="102"/>
        <v>32.629699257135471</v>
      </c>
      <c r="P118" s="17">
        <f t="shared" si="102"/>
        <v>48.153203346063123</v>
      </c>
      <c r="Q118" s="17">
        <f t="shared" si="103"/>
        <v>89.974962987823133</v>
      </c>
      <c r="R118" s="17">
        <f t="shared" si="103"/>
        <v>18.41393822467845</v>
      </c>
      <c r="S118" s="17">
        <f t="shared" si="103"/>
        <v>10.038317730117409</v>
      </c>
      <c r="T118" s="17">
        <f t="shared" si="103"/>
        <v>27.82896502623484</v>
      </c>
      <c r="U118" s="17">
        <f t="shared" si="103"/>
        <v>3.2128671636155488</v>
      </c>
      <c r="V118" s="17">
        <f t="shared" si="103"/>
        <v>2.7090515543922074</v>
      </c>
      <c r="W118" s="17">
        <f t="shared" si="103"/>
        <v>8.9873622048473063</v>
      </c>
      <c r="X118" s="17">
        <f t="shared" si="103"/>
        <v>4.7420512755608408</v>
      </c>
    </row>
    <row r="119" spans="1:28" ht="13.5" customHeight="1">
      <c r="A119" s="2">
        <f>MAX(L$32:N$32)</f>
        <v>199.99401007577575</v>
      </c>
      <c r="B119" s="2">
        <f>0.5*(D118-D121)/(D118-2*D119+D121)</f>
        <v>-5.0928562005453992</v>
      </c>
      <c r="C119" s="2">
        <f>0.1*M$50*((7*M$28^2+14*M$28*M$32+85*M$32^2)*(D119+F119)+14*(M$28^2*D119+M$32^2*F119))/(120*(M$28+M$32))</f>
        <v>208.87434744235168</v>
      </c>
      <c r="D119" s="5">
        <f t="shared" si="101"/>
        <v>10.670987356648828</v>
      </c>
      <c r="E119" s="2">
        <f>(E118+E121)/2</f>
        <v>178.80605835236548</v>
      </c>
      <c r="F119" s="57">
        <v>0</v>
      </c>
      <c r="G119" s="17">
        <f t="shared" si="102"/>
        <v>91.234690714294402</v>
      </c>
      <c r="H119" s="17">
        <f t="shared" si="102"/>
        <v>137.46440114989502</v>
      </c>
      <c r="I119" s="17">
        <f t="shared" si="102"/>
        <v>191.73460259381852</v>
      </c>
      <c r="J119" s="17">
        <f t="shared" si="102"/>
        <v>252.37312813229997</v>
      </c>
      <c r="K119" s="17">
        <f t="shared" si="102"/>
        <v>315.67617443307557</v>
      </c>
      <c r="L119" s="17">
        <f t="shared" si="102"/>
        <v>64145.085544773981</v>
      </c>
      <c r="M119" s="17">
        <f t="shared" si="102"/>
        <v>41879.601485211359</v>
      </c>
      <c r="N119" s="17">
        <f t="shared" si="102"/>
        <v>390.37764701961748</v>
      </c>
      <c r="O119" s="17">
        <f t="shared" si="102"/>
        <v>41.391155654790921</v>
      </c>
      <c r="P119" s="17">
        <f t="shared" si="102"/>
        <v>60.044022201912092</v>
      </c>
      <c r="Q119" s="17">
        <f t="shared" si="103"/>
        <v>107.93910099722707</v>
      </c>
      <c r="R119" s="17">
        <f t="shared" si="103"/>
        <v>21.38833525730141</v>
      </c>
      <c r="S119" s="17">
        <f t="shared" si="103"/>
        <v>11.51681469022123</v>
      </c>
      <c r="T119" s="17">
        <f t="shared" si="103"/>
        <v>31.251455638039179</v>
      </c>
      <c r="U119" s="17">
        <f t="shared" si="103"/>
        <v>3.5284128997174204</v>
      </c>
      <c r="V119" s="17">
        <f t="shared" si="103"/>
        <v>2.9596224939572213</v>
      </c>
      <c r="W119" s="17">
        <f t="shared" si="103"/>
        <v>9.7192021497943131</v>
      </c>
      <c r="X119" s="17">
        <f t="shared" si="103"/>
        <v>5.0707675003627752</v>
      </c>
      <c r="Z119" s="55">
        <v>2.686543569246945</v>
      </c>
    </row>
    <row r="120" spans="1:28" ht="13.5" customHeight="1">
      <c r="A120" s="2">
        <f>MAX(C118:C121)</f>
        <v>245.06296863935566</v>
      </c>
      <c r="B120" s="5">
        <f>MAX(D118:D121)</f>
        <v>12.519794182266148</v>
      </c>
      <c r="C120" s="2">
        <f>0.1*M$50*((7*M$28^2+14*M$28*M$32+85*M$32^2)*(D120+F120)+14*(M$28^2*D120+M$32^2*F120))/(120*(M$28+M$32))</f>
        <v>208.87434744235168</v>
      </c>
      <c r="D120" s="5">
        <f t="shared" si="101"/>
        <v>10.670987356648828</v>
      </c>
      <c r="E120" s="2">
        <f>IF(ABS(B119)&lt;1,E119+B119*(E119-E118),E119)</f>
        <v>178.80605835236548</v>
      </c>
      <c r="F120" s="57">
        <v>0</v>
      </c>
      <c r="G120" s="17">
        <f t="shared" si="102"/>
        <v>91.234690714294402</v>
      </c>
      <c r="H120" s="17">
        <f t="shared" si="102"/>
        <v>137.46440114989502</v>
      </c>
      <c r="I120" s="17">
        <f t="shared" si="102"/>
        <v>191.73460259381852</v>
      </c>
      <c r="J120" s="17">
        <f t="shared" si="102"/>
        <v>252.37312813229997</v>
      </c>
      <c r="K120" s="17">
        <f t="shared" si="102"/>
        <v>315.67617443307557</v>
      </c>
      <c r="L120" s="17">
        <f t="shared" si="102"/>
        <v>64145.085544773981</v>
      </c>
      <c r="M120" s="17">
        <f t="shared" si="102"/>
        <v>41879.601485211359</v>
      </c>
      <c r="N120" s="17">
        <f t="shared" si="102"/>
        <v>390.37764701961748</v>
      </c>
      <c r="O120" s="17">
        <f t="shared" si="102"/>
        <v>41.391155654790921</v>
      </c>
      <c r="P120" s="17">
        <f t="shared" si="102"/>
        <v>60.044022201912092</v>
      </c>
      <c r="Q120" s="17">
        <f t="shared" si="103"/>
        <v>107.93910099722707</v>
      </c>
      <c r="R120" s="17">
        <f t="shared" si="103"/>
        <v>21.38833525730141</v>
      </c>
      <c r="S120" s="17">
        <f t="shared" si="103"/>
        <v>11.51681469022123</v>
      </c>
      <c r="T120" s="17">
        <f t="shared" si="103"/>
        <v>31.251455638039179</v>
      </c>
      <c r="U120" s="17">
        <f t="shared" si="103"/>
        <v>3.5284128997174204</v>
      </c>
      <c r="V120" s="17">
        <f t="shared" si="103"/>
        <v>2.9596224939572213</v>
      </c>
      <c r="W120" s="17">
        <f t="shared" si="103"/>
        <v>9.7192021497943131</v>
      </c>
      <c r="X120" s="17">
        <f t="shared" si="103"/>
        <v>5.0707675003627752</v>
      </c>
      <c r="Z120" s="74">
        <v>27.707432746701791</v>
      </c>
    </row>
    <row r="121" spans="1:28" ht="13.5" customHeight="1">
      <c r="A121" s="2"/>
      <c r="B121" s="2"/>
      <c r="C121" s="2">
        <f>0.1*M$50*((7*M$28^2+14*M$28*M$32+85*M$32^2)*(D121+F121)+14*(M$28^2*D121+M$32^2*F121))/(120*(M$28+M$32))</f>
        <v>164.80639808508292</v>
      </c>
      <c r="D121" s="5">
        <f t="shared" si="101"/>
        <v>8.4196408596614845</v>
      </c>
      <c r="E121" s="2">
        <f>M24</f>
        <v>219.81038873209988</v>
      </c>
      <c r="F121" s="57">
        <v>0</v>
      </c>
      <c r="G121" s="17">
        <f t="shared" si="102"/>
        <v>42.150526018815036</v>
      </c>
      <c r="H121" s="17">
        <f t="shared" si="102"/>
        <v>64.079668536125155</v>
      </c>
      <c r="I121" s="17">
        <f t="shared" si="102"/>
        <v>90.440235158242558</v>
      </c>
      <c r="J121" s="17">
        <f t="shared" si="102"/>
        <v>120.82682678162716</v>
      </c>
      <c r="K121" s="17">
        <f t="shared" si="102"/>
        <v>153.88660313391739</v>
      </c>
      <c r="L121" s="17">
        <f t="shared" si="102"/>
        <v>45385.145927243044</v>
      </c>
      <c r="M121" s="17">
        <f t="shared" si="102"/>
        <v>37907.359384245035</v>
      </c>
      <c r="N121" s="17">
        <f t="shared" si="102"/>
        <v>546.57977229657808</v>
      </c>
      <c r="O121" s="17">
        <f t="shared" si="102"/>
        <v>53.510273879621145</v>
      </c>
      <c r="P121" s="17">
        <f t="shared" si="102"/>
        <v>76.116774026534017</v>
      </c>
      <c r="Q121" s="17">
        <f t="shared" si="103"/>
        <v>131.0075824475031</v>
      </c>
      <c r="R121" s="17">
        <f t="shared" si="103"/>
        <v>25.033839066015343</v>
      </c>
      <c r="S121" s="17">
        <f t="shared" si="103"/>
        <v>13.29906553351656</v>
      </c>
      <c r="T121" s="17">
        <f t="shared" si="103"/>
        <v>35.263791370775287</v>
      </c>
      <c r="U121" s="17">
        <f t="shared" si="103"/>
        <v>3.8865839823674797</v>
      </c>
      <c r="V121" s="17">
        <f t="shared" si="103"/>
        <v>3.2420161921830934</v>
      </c>
      <c r="W121" s="17">
        <f t="shared" si="103"/>
        <v>10.533032551602918</v>
      </c>
      <c r="X121" s="17">
        <f t="shared" si="103"/>
        <v>5.4305537800505039</v>
      </c>
      <c r="Z121" s="74">
        <v>-82.132557550427862</v>
      </c>
    </row>
    <row r="122" spans="1:28" ht="13.5" customHeight="1">
      <c r="A122" s="2"/>
      <c r="B122" s="2"/>
      <c r="C122" s="2">
        <f>0.1*N$50*((7*N$28^2+14*N$28*N$32+85*N$32^2)*(D122+F122)+14*(N$28^2*D122+N$32^2*F122))/(120*(N$28+N$32))</f>
        <v>54.64663673751334</v>
      </c>
      <c r="D122" s="5">
        <f t="shared" si="101"/>
        <v>2.0368785295336824</v>
      </c>
      <c r="E122" s="2">
        <f>N22</f>
        <v>458.07101844726446</v>
      </c>
      <c r="F122" s="3">
        <v>0</v>
      </c>
      <c r="G122" s="17">
        <f t="shared" si="102"/>
        <v>3.7607455973074466</v>
      </c>
      <c r="H122" s="17">
        <f t="shared" si="102"/>
        <v>5.7670918381091969</v>
      </c>
      <c r="I122" s="17">
        <f t="shared" si="102"/>
        <v>8.2353203101367249</v>
      </c>
      <c r="J122" s="17">
        <f t="shared" si="102"/>
        <v>11.170306263799086</v>
      </c>
      <c r="K122" s="17">
        <f t="shared" si="102"/>
        <v>14.50041470370725</v>
      </c>
      <c r="L122" s="17">
        <f t="shared" si="102"/>
        <v>7442.5246752275934</v>
      </c>
      <c r="M122" s="17">
        <f t="shared" si="102"/>
        <v>4609.2118560483759</v>
      </c>
      <c r="N122" s="17">
        <f t="shared" si="102"/>
        <v>6614.4061253357131</v>
      </c>
      <c r="O122" s="17">
        <f t="shared" si="102"/>
        <v>415.6338706582319</v>
      </c>
      <c r="P122" s="17">
        <f t="shared" si="102"/>
        <v>490.80604073163693</v>
      </c>
      <c r="Q122" s="17">
        <f t="shared" si="103"/>
        <v>563.99524397279197</v>
      </c>
      <c r="R122" s="17">
        <f t="shared" si="103"/>
        <v>76.402893119501201</v>
      </c>
      <c r="S122" s="17">
        <f t="shared" si="103"/>
        <v>36.288203585255566</v>
      </c>
      <c r="T122" s="17">
        <f t="shared" si="103"/>
        <v>80.319035410514388</v>
      </c>
      <c r="U122" s="17">
        <f t="shared" si="103"/>
        <v>7.3165379420850938</v>
      </c>
      <c r="V122" s="17">
        <f t="shared" si="103"/>
        <v>5.8600699815841679</v>
      </c>
      <c r="W122" s="17">
        <f t="shared" si="103"/>
        <v>17.651626372476148</v>
      </c>
      <c r="X122" s="17">
        <f t="shared" si="103"/>
        <v>8.3691169510593362</v>
      </c>
      <c r="Z122" s="74">
        <v>79.802305822744415</v>
      </c>
      <c r="AB122" s="81"/>
    </row>
    <row r="123" spans="1:28" ht="13.5" customHeight="1">
      <c r="A123" s="2">
        <f>MAX(M$32:O$32)</f>
        <v>179.06665759723955</v>
      </c>
      <c r="B123" s="5">
        <f>0.5*(D122-D125)/(D122-2*D123+D125)</f>
        <v>3.6223881041161223</v>
      </c>
      <c r="C123" s="2">
        <f>0.1*N$50*((7*N$28^2+14*N$28*N$32+85*N$32^2)*(D123+F123)+14*(N$28^2*D123+N$32^2*F123))/(120*(N$28+N$32))</f>
        <v>54.0438569262882</v>
      </c>
      <c r="D123" s="5">
        <f t="shared" si="101"/>
        <v>2.014410737756883</v>
      </c>
      <c r="E123" s="2">
        <f>(E122+E125)/2</f>
        <v>539.7175589887662</v>
      </c>
      <c r="F123" s="57">
        <v>0</v>
      </c>
      <c r="G123" s="17">
        <f t="shared" si="102"/>
        <v>2.2604240050005111</v>
      </c>
      <c r="H123" s="17">
        <f t="shared" si="102"/>
        <v>3.4681781133940528</v>
      </c>
      <c r="I123" s="17">
        <f t="shared" si="102"/>
        <v>4.9560618218821642</v>
      </c>
      <c r="J123" s="17">
        <f t="shared" si="102"/>
        <v>6.7286905923365889</v>
      </c>
      <c r="K123" s="17">
        <f t="shared" si="102"/>
        <v>8.7451949549568475</v>
      </c>
      <c r="L123" s="17">
        <f t="shared" si="102"/>
        <v>4684.1472692377929</v>
      </c>
      <c r="M123" s="17">
        <f t="shared" si="102"/>
        <v>2454.0993126640574</v>
      </c>
      <c r="N123" s="17">
        <f t="shared" si="102"/>
        <v>9196.8345918873965</v>
      </c>
      <c r="O123" s="17">
        <f t="shared" si="102"/>
        <v>1099.9133261361824</v>
      </c>
      <c r="P123" s="17">
        <f t="shared" si="102"/>
        <v>1224.4122413590439</v>
      </c>
      <c r="Q123" s="17">
        <f t="shared" si="103"/>
        <v>1141.5246474288331</v>
      </c>
      <c r="R123" s="17">
        <f t="shared" si="103"/>
        <v>125.27032695422336</v>
      </c>
      <c r="S123" s="17">
        <f t="shared" si="103"/>
        <v>56.096712110003253</v>
      </c>
      <c r="T123" s="17">
        <f t="shared" si="103"/>
        <v>113.5886352193064</v>
      </c>
      <c r="U123" s="17">
        <f t="shared" si="103"/>
        <v>9.4056257811967541</v>
      </c>
      <c r="V123" s="17">
        <f t="shared" si="103"/>
        <v>7.3958793596335388</v>
      </c>
      <c r="W123" s="17">
        <f t="shared" si="103"/>
        <v>21.560695297517533</v>
      </c>
      <c r="X123" s="17">
        <f t="shared" si="103"/>
        <v>9.8581141336422498</v>
      </c>
      <c r="Z123" s="55">
        <v>9.2378483769056245</v>
      </c>
      <c r="AB123" s="49"/>
    </row>
    <row r="124" spans="1:28" ht="13.5" customHeight="1">
      <c r="A124" s="2">
        <f>MAX(C122:C125)</f>
        <v>54.64663673751334</v>
      </c>
      <c r="B124" s="5">
        <f>MAX(D122:D125)</f>
        <v>2.0368785295336824</v>
      </c>
      <c r="C124" s="2">
        <f>0.1*N$50*((7*N$28^2+14*N$28*N$32+85*N$32^2)*(D124+F124)+14*(N$28^2*D124+N$32^2*F124))/(120*(N$28+N$32))</f>
        <v>54.0438569262882</v>
      </c>
      <c r="D124" s="5">
        <f t="shared" si="101"/>
        <v>2.014410737756883</v>
      </c>
      <c r="E124" s="2">
        <f>IF(ABS(B123)&lt;1,E123+B123*(E123-E122),E123)</f>
        <v>539.7175589887662</v>
      </c>
      <c r="F124" s="57">
        <v>0</v>
      </c>
      <c r="G124" s="17">
        <f t="shared" ref="G124:P134" si="104">200*PI()*G$50*((G$24-$E124)*(ASINH(G$32/MAX(ABS(G$24-$E124),0.000001))-ASINH(G$28/MAX(ABS(G$24-$E124),0.000001)))-(G$22-$E124)*(ASINH(G$32/MAX(ABS(G$22-$E124),0.000001))-ASINH(G$28/MAX(ABS(G$22-$E124),0.000001))))</f>
        <v>2.2604240050005111</v>
      </c>
      <c r="H124" s="17">
        <f t="shared" si="104"/>
        <v>3.4681781133940528</v>
      </c>
      <c r="I124" s="17">
        <f t="shared" si="104"/>
        <v>4.9560618218821642</v>
      </c>
      <c r="J124" s="17">
        <f t="shared" si="104"/>
        <v>6.7286905923365889</v>
      </c>
      <c r="K124" s="17">
        <f t="shared" si="104"/>
        <v>8.7451949549568475</v>
      </c>
      <c r="L124" s="17">
        <f t="shared" si="104"/>
        <v>4684.1472692377929</v>
      </c>
      <c r="M124" s="17">
        <f t="shared" si="104"/>
        <v>2454.0993126640574</v>
      </c>
      <c r="N124" s="17">
        <f t="shared" si="104"/>
        <v>9196.8345918873965</v>
      </c>
      <c r="O124" s="17">
        <f t="shared" si="104"/>
        <v>1099.9133261361824</v>
      </c>
      <c r="P124" s="17">
        <f t="shared" si="104"/>
        <v>1224.4122413590439</v>
      </c>
      <c r="Q124" s="17">
        <f t="shared" ref="Q124:X134" si="105">200*PI()*Q$50*((Q$24-$E124)*(ASINH(Q$32/MAX(ABS(Q$24-$E124),0.000001))-ASINH(Q$28/MAX(ABS(Q$24-$E124),0.000001)))-(Q$22-$E124)*(ASINH(Q$32/MAX(ABS(Q$22-$E124),0.000001))-ASINH(Q$28/MAX(ABS(Q$22-$E124),0.000001))))</f>
        <v>1141.5246474288331</v>
      </c>
      <c r="R124" s="17">
        <f t="shared" si="105"/>
        <v>125.27032695422336</v>
      </c>
      <c r="S124" s="17">
        <f t="shared" si="105"/>
        <v>56.096712110003253</v>
      </c>
      <c r="T124" s="17">
        <f t="shared" si="105"/>
        <v>113.5886352193064</v>
      </c>
      <c r="U124" s="17">
        <f t="shared" si="105"/>
        <v>9.4056257811967541</v>
      </c>
      <c r="V124" s="17">
        <f t="shared" si="105"/>
        <v>7.3958793596335388</v>
      </c>
      <c r="W124" s="17">
        <f t="shared" si="105"/>
        <v>21.560695297517533</v>
      </c>
      <c r="X124" s="17">
        <f t="shared" si="105"/>
        <v>9.8581141336422498</v>
      </c>
      <c r="Z124" s="74">
        <v>154.01436914717596</v>
      </c>
      <c r="AB124" s="49"/>
    </row>
    <row r="125" spans="1:28" ht="13.5" customHeight="1">
      <c r="A125" s="2"/>
      <c r="B125" s="2"/>
      <c r="C125" s="2">
        <f>0.1*N$50*((7*N$28^2+14*N$28*N$32+85*N$32^2)*(D125+F125)+14*(N$28^2*D125+N$32^2*F125))/(120*(N$28+N$32))</f>
        <v>53.587298139382256</v>
      </c>
      <c r="D125" s="5">
        <f t="shared" si="101"/>
        <v>1.9973931343683058</v>
      </c>
      <c r="E125" s="2">
        <f>N24</f>
        <v>621.36409953026794</v>
      </c>
      <c r="F125" s="57">
        <v>0</v>
      </c>
      <c r="G125" s="17">
        <f t="shared" si="104"/>
        <v>1.4656114489053496</v>
      </c>
      <c r="H125" s="17">
        <f t="shared" si="104"/>
        <v>2.249412685049045</v>
      </c>
      <c r="I125" s="17">
        <f t="shared" si="104"/>
        <v>3.2158360780940596</v>
      </c>
      <c r="J125" s="17">
        <f t="shared" si="104"/>
        <v>4.3685443967588569</v>
      </c>
      <c r="K125" s="17">
        <f t="shared" si="104"/>
        <v>5.6819146853064684</v>
      </c>
      <c r="L125" s="17">
        <f t="shared" si="104"/>
        <v>3129.0508737452205</v>
      </c>
      <c r="M125" s="17">
        <f t="shared" si="104"/>
        <v>1433.5309170022022</v>
      </c>
      <c r="N125" s="17">
        <f t="shared" si="104"/>
        <v>6614.4061253357131</v>
      </c>
      <c r="O125" s="17">
        <f t="shared" si="104"/>
        <v>2374.9200335942492</v>
      </c>
      <c r="P125" s="17">
        <f t="shared" si="104"/>
        <v>3181.9819883871291</v>
      </c>
      <c r="Q125" s="17">
        <f t="shared" si="105"/>
        <v>2694.1392402955362</v>
      </c>
      <c r="R125" s="17">
        <f t="shared" si="105"/>
        <v>224.01822038260826</v>
      </c>
      <c r="S125" s="17">
        <f t="shared" si="105"/>
        <v>93.010221562042432</v>
      </c>
      <c r="T125" s="17">
        <f t="shared" si="105"/>
        <v>168.54342275587578</v>
      </c>
      <c r="U125" s="17">
        <f t="shared" si="105"/>
        <v>12.367829360137364</v>
      </c>
      <c r="V125" s="17">
        <f t="shared" si="105"/>
        <v>9.5164796548532298</v>
      </c>
      <c r="W125" s="17">
        <f t="shared" si="105"/>
        <v>26.724232168468792</v>
      </c>
      <c r="X125" s="17">
        <f t="shared" si="105"/>
        <v>11.721759439019577</v>
      </c>
      <c r="Z125" s="74">
        <v>-206.19566123087304</v>
      </c>
      <c r="AB125" s="49"/>
    </row>
    <row r="126" spans="1:28" ht="13.5" customHeight="1">
      <c r="A126" s="2"/>
      <c r="B126" s="2"/>
      <c r="C126" s="2">
        <f>0.1*O$50*((7*O$28^2+14*O$28*O$32+85*O$32^2)*(D126+F126)+14*(O$28^2*D126+O$32^2*F126))/(120*(O$28+O$32))</f>
        <v>54.138507277838926</v>
      </c>
      <c r="D126" s="5">
        <f t="shared" si="101"/>
        <v>1.9977922559225496</v>
      </c>
      <c r="E126" s="2">
        <f>O22</f>
        <v>634.01784118630019</v>
      </c>
      <c r="F126" s="57">
        <v>0</v>
      </c>
      <c r="G126" s="17">
        <f t="shared" si="104"/>
        <v>1.377820181645266</v>
      </c>
      <c r="H126" s="17">
        <f t="shared" si="104"/>
        <v>2.114751745851235</v>
      </c>
      <c r="I126" s="17">
        <f t="shared" si="104"/>
        <v>3.023477649852198</v>
      </c>
      <c r="J126" s="17">
        <f t="shared" si="104"/>
        <v>4.1075167363626415</v>
      </c>
      <c r="K126" s="17">
        <f t="shared" si="104"/>
        <v>5.3428798163681446</v>
      </c>
      <c r="L126" s="17">
        <f t="shared" si="104"/>
        <v>2952.5693706710513</v>
      </c>
      <c r="M126" s="17">
        <f t="shared" si="104"/>
        <v>1328.2289765530841</v>
      </c>
      <c r="N126" s="17">
        <f t="shared" si="104"/>
        <v>5930.1127866631005</v>
      </c>
      <c r="O126" s="17">
        <f t="shared" si="104"/>
        <v>2477.9968326295802</v>
      </c>
      <c r="P126" s="17">
        <f t="shared" si="104"/>
        <v>3583.4348431790208</v>
      </c>
      <c r="Q126" s="17">
        <f t="shared" si="105"/>
        <v>3114.0577805786124</v>
      </c>
      <c r="R126" s="17">
        <f t="shared" si="105"/>
        <v>247.47253199899461</v>
      </c>
      <c r="S126" s="17">
        <f t="shared" si="105"/>
        <v>101.36912601189985</v>
      </c>
      <c r="T126" s="17">
        <f t="shared" si="105"/>
        <v>180.11164561831211</v>
      </c>
      <c r="U126" s="17">
        <f t="shared" si="105"/>
        <v>12.933516160621117</v>
      </c>
      <c r="V126" s="17">
        <f t="shared" si="105"/>
        <v>9.9148869323514379</v>
      </c>
      <c r="W126" s="17">
        <f t="shared" si="105"/>
        <v>27.668695349086381</v>
      </c>
      <c r="X126" s="17">
        <f t="shared" si="105"/>
        <v>12.051566879780871</v>
      </c>
      <c r="Z126" s="74">
        <v>214.43320193782043</v>
      </c>
      <c r="AB126" s="81"/>
    </row>
    <row r="127" spans="1:28" ht="13.5" customHeight="1">
      <c r="A127" s="2">
        <f>MAX(N$32:P$32)</f>
        <v>125.104710072928</v>
      </c>
      <c r="B127" s="5">
        <f>0.5*(D126-D129)/(D126-2*D127+D129)</f>
        <v>-6.6317292990097911</v>
      </c>
      <c r="C127" s="2">
        <f>0.1*O$50*((7*O$28^2+14*O$28*O$32+85*O$32^2)*(D127+F127)+14*(O$28^2*D127+O$32^2*F127))/(120*(O$28+O$32))</f>
        <v>54.165158759594277</v>
      </c>
      <c r="D127" s="5">
        <f t="shared" si="101"/>
        <v>1.998775735640349</v>
      </c>
      <c r="E127" s="2">
        <f>(E126+E129)/2</f>
        <v>645.14138702048649</v>
      </c>
      <c r="F127" s="57">
        <v>0</v>
      </c>
      <c r="G127" s="17">
        <f t="shared" si="104"/>
        <v>1.3063725643038591</v>
      </c>
      <c r="H127" s="17">
        <f t="shared" si="104"/>
        <v>2.0051534436557357</v>
      </c>
      <c r="I127" s="17">
        <f t="shared" si="104"/>
        <v>2.8669076444296535</v>
      </c>
      <c r="J127" s="17">
        <f t="shared" si="104"/>
        <v>3.8950308395253996</v>
      </c>
      <c r="K127" s="17">
        <f t="shared" si="104"/>
        <v>5.0668555853533794</v>
      </c>
      <c r="L127" s="17">
        <f t="shared" si="104"/>
        <v>2808.1824910783889</v>
      </c>
      <c r="M127" s="17">
        <f t="shared" si="104"/>
        <v>1243.809011867826</v>
      </c>
      <c r="N127" s="17">
        <f t="shared" si="104"/>
        <v>5330.7470058778399</v>
      </c>
      <c r="O127" s="17">
        <f t="shared" si="104"/>
        <v>2508.2058588147106</v>
      </c>
      <c r="P127" s="17">
        <f t="shared" si="104"/>
        <v>3919.9065077015071</v>
      </c>
      <c r="Q127" s="17">
        <f t="shared" si="105"/>
        <v>3540.7901399152111</v>
      </c>
      <c r="R127" s="17">
        <f t="shared" si="105"/>
        <v>270.75105175957481</v>
      </c>
      <c r="S127" s="17">
        <f t="shared" si="105"/>
        <v>109.54807055030808</v>
      </c>
      <c r="T127" s="17">
        <f t="shared" si="105"/>
        <v>191.18600738674672</v>
      </c>
      <c r="U127" s="17">
        <f t="shared" si="105"/>
        <v>13.459509208130402</v>
      </c>
      <c r="V127" s="17">
        <f t="shared" si="105"/>
        <v>10.283620463160897</v>
      </c>
      <c r="W127" s="17">
        <f t="shared" si="105"/>
        <v>28.536309995592799</v>
      </c>
      <c r="X127" s="17">
        <f t="shared" si="105"/>
        <v>12.351771784491348</v>
      </c>
      <c r="Z127" s="55">
        <v>14.06592654435774</v>
      </c>
    </row>
    <row r="128" spans="1:28" ht="13.5" customHeight="1">
      <c r="A128" s="2">
        <f>MAX(C126:C129)</f>
        <v>54.196156728360982</v>
      </c>
      <c r="B128" s="5">
        <f>MAX(D126:D129)</f>
        <v>1.999919607259004</v>
      </c>
      <c r="C128" s="2">
        <f>0.1*O$50*((7*O$28^2+14*O$28*O$32+85*O$32^2)*(D128+F128)+14*(O$28^2*D128+O$32^2*F128))/(120*(O$28+O$32))</f>
        <v>54.165158759594277</v>
      </c>
      <c r="D128" s="5">
        <f t="shared" si="101"/>
        <v>1.998775735640349</v>
      </c>
      <c r="E128" s="2">
        <f>IF(ABS(B127)&lt;1,E127+B127*(E127-E126),E127)</f>
        <v>645.14138702048649</v>
      </c>
      <c r="F128" s="57">
        <v>0</v>
      </c>
      <c r="G128" s="17">
        <f t="shared" si="104"/>
        <v>1.3063725643038591</v>
      </c>
      <c r="H128" s="17">
        <f t="shared" si="104"/>
        <v>2.0051534436557357</v>
      </c>
      <c r="I128" s="17">
        <f t="shared" si="104"/>
        <v>2.8669076444296535</v>
      </c>
      <c r="J128" s="17">
        <f t="shared" si="104"/>
        <v>3.8950308395253996</v>
      </c>
      <c r="K128" s="17">
        <f t="shared" si="104"/>
        <v>5.0668555853533794</v>
      </c>
      <c r="L128" s="17">
        <f t="shared" si="104"/>
        <v>2808.1824910783889</v>
      </c>
      <c r="M128" s="17">
        <f t="shared" si="104"/>
        <v>1243.809011867826</v>
      </c>
      <c r="N128" s="17">
        <f t="shared" si="104"/>
        <v>5330.7470058778399</v>
      </c>
      <c r="O128" s="17">
        <f t="shared" si="104"/>
        <v>2508.2058588147106</v>
      </c>
      <c r="P128" s="17">
        <f t="shared" si="104"/>
        <v>3919.9065077015071</v>
      </c>
      <c r="Q128" s="17">
        <f t="shared" si="105"/>
        <v>3540.7901399152111</v>
      </c>
      <c r="R128" s="17">
        <f t="shared" si="105"/>
        <v>270.75105175957481</v>
      </c>
      <c r="S128" s="17">
        <f t="shared" si="105"/>
        <v>109.54807055030808</v>
      </c>
      <c r="T128" s="17">
        <f t="shared" si="105"/>
        <v>191.18600738674672</v>
      </c>
      <c r="U128" s="17">
        <f t="shared" si="105"/>
        <v>13.459509208130402</v>
      </c>
      <c r="V128" s="17">
        <f t="shared" si="105"/>
        <v>10.283620463160897</v>
      </c>
      <c r="W128" s="17">
        <f t="shared" si="105"/>
        <v>28.536309995592799</v>
      </c>
      <c r="X128" s="17">
        <f t="shared" si="105"/>
        <v>12.351771784491348</v>
      </c>
      <c r="Z128" s="74">
        <v>119.18128080085836</v>
      </c>
      <c r="AA128" s="80"/>
    </row>
    <row r="129" spans="1:28" ht="13.5" customHeight="1">
      <c r="A129" s="1"/>
      <c r="B129" s="1"/>
      <c r="C129" s="2">
        <f>0.1*O$50*((7*O$28^2+14*O$28*O$32+85*O$32^2)*(D129+F129)+14*(O$28^2*D129+O$32^2*F129))/(120*(O$28+O$32))</f>
        <v>54.196156728360982</v>
      </c>
      <c r="D129" s="5">
        <f t="shared" si="101"/>
        <v>1.999919607259004</v>
      </c>
      <c r="E129" s="2">
        <f>O24</f>
        <v>656.26493285467268</v>
      </c>
      <c r="F129" s="57">
        <v>0</v>
      </c>
      <c r="G129" s="17">
        <f t="shared" si="104"/>
        <v>1.23980313065821</v>
      </c>
      <c r="H129" s="17">
        <f t="shared" si="104"/>
        <v>1.9030327817448542</v>
      </c>
      <c r="I129" s="17">
        <f t="shared" si="104"/>
        <v>2.7210096468051486</v>
      </c>
      <c r="J129" s="17">
        <f t="shared" si="104"/>
        <v>3.6970096780421664</v>
      </c>
      <c r="K129" s="17">
        <f t="shared" si="104"/>
        <v>4.8095904625188162</v>
      </c>
      <c r="L129" s="17">
        <f t="shared" si="104"/>
        <v>2673.0231212272256</v>
      </c>
      <c r="M129" s="17">
        <f t="shared" si="104"/>
        <v>1166.2289779453849</v>
      </c>
      <c r="N129" s="17">
        <f t="shared" si="104"/>
        <v>4752.6473803673562</v>
      </c>
      <c r="O129" s="17">
        <f t="shared" si="104"/>
        <v>2477.9968326295802</v>
      </c>
      <c r="P129" s="17">
        <f t="shared" si="104"/>
        <v>4217.4972071581769</v>
      </c>
      <c r="Q129" s="17">
        <f t="shared" si="105"/>
        <v>4026.2972600253934</v>
      </c>
      <c r="R129" s="17">
        <f t="shared" si="105"/>
        <v>296.90258401667285</v>
      </c>
      <c r="S129" s="17">
        <f t="shared" si="105"/>
        <v>118.61236980261062</v>
      </c>
      <c r="T129" s="17">
        <f t="shared" si="105"/>
        <v>203.20240440382446</v>
      </c>
      <c r="U129" s="17">
        <f t="shared" si="105"/>
        <v>14.014282025933376</v>
      </c>
      <c r="V129" s="17">
        <f t="shared" si="105"/>
        <v>10.670796345086845</v>
      </c>
      <c r="W129" s="17">
        <f t="shared" si="105"/>
        <v>29.440841070521245</v>
      </c>
      <c r="X129" s="17">
        <f t="shared" si="105"/>
        <v>12.662015572275157</v>
      </c>
      <c r="Z129" s="74">
        <v>463.38088422804668</v>
      </c>
      <c r="AA129" s="49"/>
    </row>
    <row r="130" spans="1:28" ht="13.5" customHeight="1">
      <c r="A130" s="2"/>
      <c r="B130" s="1"/>
      <c r="C130" s="2">
        <f>0.1*P$50*((7*P$28^2+14*P$28*P$32+85*P$32^2)*(D130+F130)+14*(P$28^2*D130+P$32^2*F130))/(120*(P$28+P$32))</f>
        <v>54.088619976414314</v>
      </c>
      <c r="D130" s="5">
        <f t="shared" si="101"/>
        <v>2.000392155748663</v>
      </c>
      <c r="E130" s="17">
        <f>P$22</f>
        <v>661.46984422705418</v>
      </c>
      <c r="F130" s="3">
        <v>0</v>
      </c>
      <c r="G130" s="17">
        <f t="shared" si="104"/>
        <v>1.2102116522018076</v>
      </c>
      <c r="H130" s="17">
        <f t="shared" si="104"/>
        <v>1.8576363798549147</v>
      </c>
      <c r="I130" s="17">
        <f t="shared" si="104"/>
        <v>2.6561493410565649</v>
      </c>
      <c r="J130" s="17">
        <f t="shared" si="104"/>
        <v>3.6089717116541946</v>
      </c>
      <c r="K130" s="17">
        <f t="shared" si="104"/>
        <v>4.695203597075631</v>
      </c>
      <c r="L130" s="17">
        <f t="shared" si="104"/>
        <v>2612.7424532209634</v>
      </c>
      <c r="M130" s="17">
        <f t="shared" si="104"/>
        <v>1132.0869608943958</v>
      </c>
      <c r="N130" s="17">
        <f t="shared" si="104"/>
        <v>4493.5792781062619</v>
      </c>
      <c r="O130" s="17">
        <f t="shared" si="104"/>
        <v>2443.8517795349735</v>
      </c>
      <c r="P130" s="17">
        <f t="shared" si="104"/>
        <v>4336.6380242515143</v>
      </c>
      <c r="Q130" s="17">
        <f t="shared" si="105"/>
        <v>4274.5783184433822</v>
      </c>
      <c r="R130" s="17">
        <f t="shared" si="105"/>
        <v>310.24530296333552</v>
      </c>
      <c r="S130" s="17">
        <f t="shared" si="105"/>
        <v>123.19106027150183</v>
      </c>
      <c r="T130" s="17">
        <f t="shared" si="105"/>
        <v>209.17737209949664</v>
      </c>
      <c r="U130" s="17">
        <f t="shared" si="105"/>
        <v>14.284309371318951</v>
      </c>
      <c r="V130" s="17">
        <f t="shared" si="105"/>
        <v>10.858622069155317</v>
      </c>
      <c r="W130" s="17">
        <f t="shared" si="105"/>
        <v>29.877325666183459</v>
      </c>
      <c r="X130" s="17">
        <f t="shared" si="105"/>
        <v>12.810750594140211</v>
      </c>
      <c r="Z130" s="74">
        <v>469.05257058699033</v>
      </c>
      <c r="AA130" s="49"/>
    </row>
    <row r="131" spans="1:28" ht="13.5" customHeight="1">
      <c r="A131" s="2">
        <f>MAX(O$32:Q$32)</f>
        <v>125.104710072928</v>
      </c>
      <c r="B131" s="5">
        <f>0.5*(D130-D133)/(D130-2*D131+D133)</f>
        <v>-0.45028479385019715</v>
      </c>
      <c r="C131" s="2">
        <f>0.1*Q$50*((7*Q$28^2+14*Q$28*Q$32+85*Q$32^2)*(D131+F131)+14*(Q$28^2*D131+Q$32^2*F131))/(120*(Q$28+Q$32))</f>
        <v>53.523469017609621</v>
      </c>
      <c r="D131" s="5">
        <f t="shared" si="101"/>
        <v>1.998182004025556</v>
      </c>
      <c r="E131" s="17">
        <f>Q$22</f>
        <v>725.81468615775429</v>
      </c>
      <c r="F131" s="3">
        <v>0</v>
      </c>
      <c r="G131" s="17">
        <f t="shared" si="104"/>
        <v>0.9115967397712964</v>
      </c>
      <c r="H131" s="17">
        <f t="shared" si="104"/>
        <v>1.39947051308058</v>
      </c>
      <c r="I131" s="17">
        <f t="shared" si="104"/>
        <v>2.0014266223527839</v>
      </c>
      <c r="J131" s="17">
        <f t="shared" si="104"/>
        <v>2.7200779339748089</v>
      </c>
      <c r="K131" s="17">
        <f t="shared" si="104"/>
        <v>3.5399266249369985</v>
      </c>
      <c r="L131" s="17">
        <f t="shared" si="104"/>
        <v>1997.1574073045406</v>
      </c>
      <c r="M131" s="17">
        <f t="shared" si="104"/>
        <v>800.37174726695605</v>
      </c>
      <c r="N131" s="17">
        <f t="shared" si="104"/>
        <v>2133.1143316595239</v>
      </c>
      <c r="O131" s="17">
        <f t="shared" si="104"/>
        <v>1469.469603930047</v>
      </c>
      <c r="P131" s="17">
        <f t="shared" si="104"/>
        <v>4150.696590732774</v>
      </c>
      <c r="Q131" s="17">
        <f t="shared" si="105"/>
        <v>8276.3874440548443</v>
      </c>
      <c r="R131" s="17">
        <f t="shared" si="105"/>
        <v>559.59517832925201</v>
      </c>
      <c r="S131" s="17">
        <f t="shared" si="105"/>
        <v>204.75793250576695</v>
      </c>
      <c r="T131" s="17">
        <f t="shared" si="105"/>
        <v>307.47829192532743</v>
      </c>
      <c r="U131" s="17">
        <f t="shared" si="105"/>
        <v>18.274174957795893</v>
      </c>
      <c r="V131" s="17">
        <f t="shared" si="105"/>
        <v>13.590137123611893</v>
      </c>
      <c r="W131" s="17">
        <f t="shared" si="105"/>
        <v>36.069576661516493</v>
      </c>
      <c r="X131" s="17">
        <f t="shared" si="105"/>
        <v>14.857623803605554</v>
      </c>
      <c r="Z131" s="55">
        <v>0.39076534126167428</v>
      </c>
      <c r="AA131" s="49"/>
    </row>
    <row r="132" spans="1:28" ht="13.5" customHeight="1">
      <c r="A132" s="2">
        <f>MAX(C130:C133)</f>
        <v>57.756882157716866</v>
      </c>
      <c r="B132" s="5">
        <f>MAX(D130:D133)</f>
        <v>2.0404281041069239</v>
      </c>
      <c r="C132" s="2">
        <f>0.1*R$50*((7*R$28^2+14*R$28*R$32+85*R$32^2)*(D132+F132)+14*(R$28^2*D132+R$32^2*F132))/(120*(R$28+R$32))</f>
        <v>57.756882157716866</v>
      </c>
      <c r="D132" s="5">
        <f t="shared" si="101"/>
        <v>1.9678284687190037</v>
      </c>
      <c r="E132" s="17">
        <f>R$22</f>
        <v>952</v>
      </c>
      <c r="F132" s="3">
        <v>0</v>
      </c>
      <c r="G132" s="17">
        <f t="shared" si="104"/>
        <v>0.40000409636541717</v>
      </c>
      <c r="H132" s="17">
        <f t="shared" si="104"/>
        <v>0.61425556352586241</v>
      </c>
      <c r="I132" s="17">
        <f t="shared" si="104"/>
        <v>0.87880793669164636</v>
      </c>
      <c r="J132" s="17">
        <f t="shared" si="104"/>
        <v>1.1949727973493558</v>
      </c>
      <c r="K132" s="17">
        <f t="shared" si="104"/>
        <v>1.5561674372091157</v>
      </c>
      <c r="L132" s="17">
        <f t="shared" si="104"/>
        <v>906.12897298428743</v>
      </c>
      <c r="M132" s="17">
        <f t="shared" si="104"/>
        <v>298.40984762596827</v>
      </c>
      <c r="N132" s="17">
        <f t="shared" si="104"/>
        <v>267.32776011469798</v>
      </c>
      <c r="O132" s="17">
        <f t="shared" si="104"/>
        <v>128.72058754519736</v>
      </c>
      <c r="P132" s="17">
        <f t="shared" si="104"/>
        <v>362.95766169485665</v>
      </c>
      <c r="Q132" s="17">
        <f t="shared" si="105"/>
        <v>7460.1463351783868</v>
      </c>
      <c r="R132" s="17">
        <f t="shared" si="105"/>
        <v>5016.9351198399963</v>
      </c>
      <c r="S132" s="17">
        <f t="shared" si="105"/>
        <v>2766.526310776454</v>
      </c>
      <c r="T132" s="17">
        <f t="shared" si="105"/>
        <v>2277.3936786530735</v>
      </c>
      <c r="U132" s="17">
        <f t="shared" si="105"/>
        <v>53.08753781601839</v>
      </c>
      <c r="V132" s="17">
        <f t="shared" si="105"/>
        <v>35.212808378695811</v>
      </c>
      <c r="W132" s="17">
        <f t="shared" si="105"/>
        <v>78.698232435929015</v>
      </c>
      <c r="X132" s="17">
        <f t="shared" si="105"/>
        <v>26.739834146473576</v>
      </c>
      <c r="Z132" s="74">
        <v>39.605917795366246</v>
      </c>
      <c r="AA132" s="82"/>
    </row>
    <row r="133" spans="1:28" ht="13.5" customHeight="1">
      <c r="A133" s="2"/>
      <c r="B133" s="1"/>
      <c r="C133" s="2">
        <f>0.1*S$50*((7*S$28^2+14*S$28*S$32+85*S$32^2)*(D133+F133)+14*(S$28^2*D133+S$32^2*F133))/(120*(S$28+S$32))</f>
        <v>51.169023002554674</v>
      </c>
      <c r="D133" s="5">
        <f t="shared" si="101"/>
        <v>2.0404281041069239</v>
      </c>
      <c r="E133" s="17">
        <f>S$22</f>
        <v>1033</v>
      </c>
      <c r="F133" s="3">
        <v>0</v>
      </c>
      <c r="G133" s="17">
        <f t="shared" si="104"/>
        <v>0.31244986947782333</v>
      </c>
      <c r="H133" s="17">
        <f t="shared" si="104"/>
        <v>0.47983332640207588</v>
      </c>
      <c r="I133" s="17">
        <f t="shared" si="104"/>
        <v>0.68654655287292754</v>
      </c>
      <c r="J133" s="17">
        <f t="shared" si="104"/>
        <v>0.93364063267231279</v>
      </c>
      <c r="K133" s="17">
        <f t="shared" si="104"/>
        <v>1.2160088501579556</v>
      </c>
      <c r="L133" s="17">
        <f t="shared" si="104"/>
        <v>713.48301465933378</v>
      </c>
      <c r="M133" s="17">
        <f t="shared" si="104"/>
        <v>223.42791893606224</v>
      </c>
      <c r="N133" s="17">
        <f t="shared" si="104"/>
        <v>159.11781421403114</v>
      </c>
      <c r="O133" s="17">
        <f t="shared" si="104"/>
        <v>68.965934337285248</v>
      </c>
      <c r="P133" s="17">
        <f t="shared" si="104"/>
        <v>180.84602846231081</v>
      </c>
      <c r="Q133" s="17">
        <f t="shared" si="105"/>
        <v>3077.0307107521849</v>
      </c>
      <c r="R133" s="17">
        <f t="shared" si="105"/>
        <v>3289.2202739044342</v>
      </c>
      <c r="S133" s="17">
        <f t="shared" si="105"/>
        <v>5932.7418280964421</v>
      </c>
      <c r="T133" s="17">
        <f t="shared" si="105"/>
        <v>6473.9826460178783</v>
      </c>
      <c r="U133" s="17">
        <f t="shared" si="105"/>
        <v>86.825387999354064</v>
      </c>
      <c r="V133" s="17">
        <f t="shared" si="105"/>
        <v>53.993328675148035</v>
      </c>
      <c r="W133" s="17">
        <f t="shared" si="105"/>
        <v>110.59732436806338</v>
      </c>
      <c r="X133" s="17">
        <f t="shared" si="105"/>
        <v>34.048830646713554</v>
      </c>
      <c r="Y133" s="72">
        <f>10*(F161-F151)/(A161-A151)</f>
        <v>-3.1413189205409251E-8</v>
      </c>
      <c r="Z133" s="74">
        <v>485.06710646088368</v>
      </c>
      <c r="AA133" s="82"/>
    </row>
    <row r="134" spans="1:28" ht="13.5" customHeight="1">
      <c r="A134" s="5"/>
      <c r="B134" s="1"/>
      <c r="C134" s="2">
        <f>0.1*T$50*((7*T$28^2+14*T$28*T$32+85*T$32^2)*(D134+F134)+14*(T$28^2*D134+T$32^2*F134))/(120*(T$28+T$32))</f>
        <v>46.200611662498289</v>
      </c>
      <c r="D134" s="5">
        <f t="shared" si="101"/>
        <v>2.0792111899182903</v>
      </c>
      <c r="E134" s="17">
        <f>T$22</f>
        <v>1063</v>
      </c>
      <c r="F134" s="3">
        <v>0</v>
      </c>
      <c r="G134" s="17">
        <f t="shared" si="104"/>
        <v>0.28655085713244904</v>
      </c>
      <c r="H134" s="17">
        <f t="shared" si="104"/>
        <v>0.44006791660106614</v>
      </c>
      <c r="I134" s="17">
        <f t="shared" si="104"/>
        <v>0.62966584080905408</v>
      </c>
      <c r="J134" s="17">
        <f t="shared" si="104"/>
        <v>0.85631621173171335</v>
      </c>
      <c r="K134" s="17">
        <f t="shared" si="104"/>
        <v>1.1153456935597732</v>
      </c>
      <c r="L134" s="17">
        <f t="shared" si="104"/>
        <v>656.06539357889778</v>
      </c>
      <c r="M134" s="17">
        <f t="shared" si="104"/>
        <v>202.03087590886406</v>
      </c>
      <c r="N134" s="17">
        <f t="shared" si="104"/>
        <v>133.93010780925019</v>
      </c>
      <c r="O134" s="17">
        <f t="shared" si="104"/>
        <v>56.201041315395358</v>
      </c>
      <c r="P134" s="17">
        <f t="shared" si="104"/>
        <v>144.20097574827113</v>
      </c>
      <c r="Q134" s="17">
        <f t="shared" si="105"/>
        <v>2192.168155628613</v>
      </c>
      <c r="R134" s="17">
        <f t="shared" si="105"/>
        <v>2371.7466738276503</v>
      </c>
      <c r="S134" s="17">
        <f t="shared" si="105"/>
        <v>5606.8994022268935</v>
      </c>
      <c r="T134" s="17">
        <f t="shared" si="105"/>
        <v>9093.9095573521645</v>
      </c>
      <c r="U134" s="17">
        <f t="shared" si="105"/>
        <v>106.4054064220222</v>
      </c>
      <c r="V134" s="17">
        <f t="shared" si="105"/>
        <v>64.279464679097885</v>
      </c>
      <c r="W134" s="17">
        <f t="shared" si="105"/>
        <v>126.84709314574806</v>
      </c>
      <c r="X134" s="17">
        <f t="shared" si="105"/>
        <v>37.427751540034137</v>
      </c>
      <c r="Y134" s="72">
        <f>10*Y156</f>
        <v>3.809377876251574E-4</v>
      </c>
      <c r="Z134" s="74">
        <v>1229.6155700363338</v>
      </c>
      <c r="AA134" s="5"/>
    </row>
    <row r="135" spans="1:28" ht="13.5" customHeight="1">
      <c r="A135" s="1" t="s">
        <v>2</v>
      </c>
      <c r="B135" s="5">
        <v>20</v>
      </c>
      <c r="D135" s="1" t="s">
        <v>41</v>
      </c>
      <c r="E135" s="23" t="s">
        <v>52</v>
      </c>
      <c r="F135" s="1" t="s">
        <v>42</v>
      </c>
      <c r="G135" s="1" t="s">
        <v>32</v>
      </c>
      <c r="H135" s="1" t="s">
        <v>32</v>
      </c>
      <c r="I135" s="1" t="s">
        <v>32</v>
      </c>
      <c r="J135" s="36" t="s">
        <v>32</v>
      </c>
      <c r="K135" s="1" t="s">
        <v>32</v>
      </c>
      <c r="L135" s="62" t="s">
        <v>169</v>
      </c>
      <c r="M135" s="1" t="s">
        <v>32</v>
      </c>
      <c r="N135" s="1" t="s">
        <v>32</v>
      </c>
      <c r="O135" s="1" t="s">
        <v>32</v>
      </c>
      <c r="P135" s="1" t="s">
        <v>32</v>
      </c>
      <c r="Q135" s="1" t="s">
        <v>32</v>
      </c>
      <c r="R135" s="1" t="s">
        <v>32</v>
      </c>
      <c r="S135" s="1" t="s">
        <v>32</v>
      </c>
      <c r="T135" s="1" t="s">
        <v>32</v>
      </c>
      <c r="U135" s="62" t="s">
        <v>32</v>
      </c>
      <c r="V135" s="62" t="s">
        <v>32</v>
      </c>
      <c r="W135" s="62" t="s">
        <v>32</v>
      </c>
      <c r="X135" s="62" t="s">
        <v>32</v>
      </c>
      <c r="Y135" s="66">
        <f>10*Y206</f>
        <v>-1.9875500807398083E-3</v>
      </c>
      <c r="Z135" s="83">
        <f>SUMXMY2($F136:$F206,Z136:Z206)+0.01*SUMSQ(MAX(0,Z128-120),MIN(0,Z129-Z126-100),MAX(0,Z132-90),MIN(0,Z133-Z130-10))</f>
        <v>3.4833394519750614E-2</v>
      </c>
      <c r="AA135" s="61" t="s">
        <v>45</v>
      </c>
      <c r="AB135" s="56">
        <f>0.01*SUMSQ(AB156:AB306)</f>
        <v>2.1114215967948082</v>
      </c>
    </row>
    <row r="136" spans="1:28" ht="13.5" customHeight="1">
      <c r="A136" s="17">
        <v>-300</v>
      </c>
      <c r="B136" s="5">
        <v>7.5</v>
      </c>
      <c r="D136" s="59">
        <f t="shared" ref="D136:D167" si="106">L136+0.0001*SUM(M136:X136)</f>
        <v>4.0635912774267293</v>
      </c>
      <c r="E136" s="3">
        <f t="shared" ref="E136" si="107">0.0001*SUM(G136:K136)</f>
        <v>1.6700591460206953E-2</v>
      </c>
      <c r="F136" s="63">
        <f>D136+E136</f>
        <v>4.0802918688869365</v>
      </c>
      <c r="G136" s="17">
        <f t="shared" ref="G136:K145" si="108">200*PI()*G$50*((G$24-$A136)*(ASINH(G$32/MAX(ABS(G$24-$A136),0.000001))-ASINH(G$28/MAX(ABS(G$24-$A136),0.000001)))-(G$22-$A136)*(ASINH(G$32/MAX(ABS(G$22-$A136),0.000001))-ASINH(G$28/MAX(ABS(G$22-$A136),0.000001))))</f>
        <v>14.619560843811469</v>
      </c>
      <c r="H136" s="17">
        <f t="shared" si="108"/>
        <v>22.354009742864491</v>
      </c>
      <c r="I136" s="17">
        <f t="shared" si="108"/>
        <v>31.79541990280169</v>
      </c>
      <c r="J136" s="17">
        <f t="shared" si="108"/>
        <v>42.90507787928501</v>
      </c>
      <c r="K136" s="17">
        <f t="shared" si="108"/>
        <v>55.331846233306827</v>
      </c>
      <c r="L136" s="63">
        <f t="shared" ref="L136:L167" si="109">0.02*PI()*L$50*((L$24-$A136)*(ASINH(L$32/MAX(ABS(L$24-$A136),0.000001))-ASINH(L$28/MAX(ABS(L$24-$A136),0.000001)))-(L$22-$A136)*(ASINH(L$32/MAX(ABS(L$22-$A136),0.000001))-ASINH(L$28/MAX(ABS(L$22-$A136),0.000001))))</f>
        <v>3.9382791563029427</v>
      </c>
      <c r="M136" s="17">
        <f t="shared" ref="M136:X145" si="110">200*PI()*M$50*((M$24-$A136)*(ASINH(M$32/MAX(ABS(M$24-$A136),0.000001))-ASINH(M$28/MAX(ABS(M$24-$A136),0.000001)))-(M$22-$A136)*(ASINH(M$32/MAX(ABS(M$22-$A136),0.000001))-ASINH(M$28/MAX(ABS(M$22-$A136),0.000001))))</f>
        <v>1157.2649427593194</v>
      </c>
      <c r="N136" s="17">
        <f t="shared" si="110"/>
        <v>33.13760681051189</v>
      </c>
      <c r="O136" s="17">
        <f t="shared" si="110"/>
        <v>5.35632812091358</v>
      </c>
      <c r="P136" s="17">
        <f t="shared" si="110"/>
        <v>8.7408877083668575</v>
      </c>
      <c r="Q136" s="17">
        <f t="shared" si="110"/>
        <v>20.800794695115929</v>
      </c>
      <c r="R136" s="17">
        <f t="shared" si="110"/>
        <v>5.2195076921148997</v>
      </c>
      <c r="S136" s="17">
        <f t="shared" si="110"/>
        <v>3.101303643580136</v>
      </c>
      <c r="T136" s="17">
        <f t="shared" si="110"/>
        <v>10.073794900499184</v>
      </c>
      <c r="U136" s="17">
        <f t="shared" si="110"/>
        <v>1.3700458143973482</v>
      </c>
      <c r="V136" s="17">
        <f t="shared" si="110"/>
        <v>1.2036984494400498</v>
      </c>
      <c r="W136" s="17">
        <f t="shared" si="110"/>
        <v>4.3407165206413678</v>
      </c>
      <c r="X136" s="17">
        <f t="shared" si="110"/>
        <v>2.511584122969964</v>
      </c>
      <c r="Y136" s="65" t="s">
        <v>47</v>
      </c>
      <c r="Z136" s="81">
        <f>Z$119*((Z$122-$A136)/SQRT(Z$120^2+(Z$122-$A136)^2)-(Z$121-$A136)/SQRT(Z$120^2+(Z$121-$A136)^2))+Z$123*((Z$126-$A136)/SQRT(Z$124^2+(Z$126-$A136)^2)-(Z$125-$A136)/SQRT(Z$124^2+(Z$125-$A136)^2))+Z$127*((Z$130-$A136)/SQRT(Z$128^2+(Z$130-$A136)^2)-(Z$129-$A136)/SQRT(Z$128^2+(Z$129-$A136)^2))+Z$131*((Z$134-$A136)/SQRT(Z$132^2+(Z$134-$A136)^2)-(Z$133-$A136)/SQRT(Z$132^2+(Z$133-$A136)^2))</f>
        <v>4.0615863702966823</v>
      </c>
      <c r="AA136" s="5"/>
      <c r="AB136" s="17"/>
    </row>
    <row r="137" spans="1:28" ht="13.5" customHeight="1">
      <c r="A137" s="17">
        <v>-280</v>
      </c>
      <c r="B137" s="5"/>
      <c r="D137" s="64">
        <f t="shared" si="106"/>
        <v>4.82580391638938</v>
      </c>
      <c r="E137" s="52">
        <f t="shared" ref="E137:E149" si="111">0.0001*SUM(G137:K137)</f>
        <v>2.0938826268740145E-2</v>
      </c>
      <c r="F137" s="63">
        <f t="shared" ref="F137:F196" si="112">D137+E137</f>
        <v>4.8467427426581198</v>
      </c>
      <c r="G137" s="17">
        <f t="shared" si="108"/>
        <v>18.389057698127647</v>
      </c>
      <c r="H137" s="17">
        <f t="shared" si="108"/>
        <v>28.093402733723337</v>
      </c>
      <c r="I137" s="17">
        <f t="shared" si="108"/>
        <v>39.912085039883401</v>
      </c>
      <c r="J137" s="17">
        <f t="shared" si="108"/>
        <v>53.775820649381423</v>
      </c>
      <c r="K137" s="17">
        <f t="shared" si="108"/>
        <v>69.217896566285646</v>
      </c>
      <c r="L137" s="63">
        <f t="shared" si="109"/>
        <v>4.6856440533964125</v>
      </c>
      <c r="M137" s="17">
        <f t="shared" si="110"/>
        <v>1300.1591465007084</v>
      </c>
      <c r="N137" s="17">
        <f t="shared" si="110"/>
        <v>35.599165962445745</v>
      </c>
      <c r="O137" s="17">
        <f t="shared" si="110"/>
        <v>5.7051508900811125</v>
      </c>
      <c r="P137" s="17">
        <f t="shared" si="110"/>
        <v>9.2848720088229832</v>
      </c>
      <c r="Q137" s="17">
        <f t="shared" si="110"/>
        <v>21.94240769731805</v>
      </c>
      <c r="R137" s="17">
        <f t="shared" si="110"/>
        <v>5.4735298770730259</v>
      </c>
      <c r="S137" s="17">
        <f t="shared" si="110"/>
        <v>3.2434036567317102</v>
      </c>
      <c r="T137" s="17">
        <f t="shared" si="110"/>
        <v>10.479955783751235</v>
      </c>
      <c r="U137" s="17">
        <f t="shared" si="110"/>
        <v>1.4175804337093043</v>
      </c>
      <c r="V137" s="17">
        <f t="shared" si="110"/>
        <v>1.2436655696548928</v>
      </c>
      <c r="W137" s="17">
        <f t="shared" si="110"/>
        <v>4.4712738649766184</v>
      </c>
      <c r="X137" s="17">
        <f t="shared" si="110"/>
        <v>2.5784776844042017</v>
      </c>
      <c r="Y137" s="50">
        <f t="shared" ref="Y137:Y156" si="113">100*(D138-D136)/(A138-A136)</f>
        <v>4.1343845492647091</v>
      </c>
      <c r="Z137" s="84">
        <f t="shared" ref="Z137:Z200" si="114">Z$119*((Z$122-$A137)/SQRT(Z$120^2+(Z$122-$A137)^2)-(Z$121-$A137)/SQRT(Z$120^2+(Z$121-$A137)^2))+Z$123*((Z$126-$A137)/SQRT(Z$124^2+(Z$126-$A137)^2)-(Z$125-$A137)/SQRT(Z$124^2+(Z$125-$A137)^2))+Z$127*((Z$130-$A137)/SQRT(Z$128^2+(Z$130-$A137)^2)-(Z$129-$A137)/SQRT(Z$128^2+(Z$129-$A137)^2))+Z$131*((Z$134-$A137)/SQRT(Z$132^2+(Z$134-$A137)^2)-(Z$133-$A137)/SQRT(Z$132^2+(Z$133-$A137)^2))</f>
        <v>4.8487833929274853</v>
      </c>
      <c r="AA137" s="5"/>
      <c r="AB137" s="17"/>
    </row>
    <row r="138" spans="1:28" ht="13.5" customHeight="1">
      <c r="A138" s="17">
        <f t="shared" ref="A138:A201" si="115">2*A137-A136</f>
        <v>-260</v>
      </c>
      <c r="B138" s="18"/>
      <c r="D138" s="64">
        <f t="shared" si="106"/>
        <v>5.717345097132613</v>
      </c>
      <c r="E138" s="52">
        <f t="shared" si="111"/>
        <v>2.6781892411360378E-2</v>
      </c>
      <c r="F138" s="63">
        <f t="shared" si="112"/>
        <v>5.7441269895439735</v>
      </c>
      <c r="G138" s="17">
        <f t="shared" si="108"/>
        <v>23.62090631277675</v>
      </c>
      <c r="H138" s="17">
        <f t="shared" si="108"/>
        <v>36.044892626815937</v>
      </c>
      <c r="I138" s="17">
        <f t="shared" si="108"/>
        <v>51.129556794623561</v>
      </c>
      <c r="J138" s="17">
        <f t="shared" si="108"/>
        <v>68.751858218035252</v>
      </c>
      <c r="K138" s="17">
        <f t="shared" si="108"/>
        <v>88.271710161352217</v>
      </c>
      <c r="L138" s="63">
        <f t="shared" si="109"/>
        <v>5.5599136698076466</v>
      </c>
      <c r="M138" s="17">
        <f t="shared" si="110"/>
        <v>1466.8211431246909</v>
      </c>
      <c r="N138" s="17">
        <f t="shared" si="110"/>
        <v>38.309933591210601</v>
      </c>
      <c r="O138" s="17">
        <f t="shared" si="110"/>
        <v>6.0847854296537642</v>
      </c>
      <c r="P138" s="17">
        <f t="shared" si="110"/>
        <v>9.8747634933463804</v>
      </c>
      <c r="Q138" s="17">
        <f t="shared" si="110"/>
        <v>23.169094310202375</v>
      </c>
      <c r="R138" s="17">
        <f t="shared" si="110"/>
        <v>5.7442590409210039</v>
      </c>
      <c r="S138" s="17">
        <f t="shared" si="110"/>
        <v>3.3943035273494964</v>
      </c>
      <c r="T138" s="17">
        <f t="shared" si="110"/>
        <v>10.908334264177805</v>
      </c>
      <c r="U138" s="17">
        <f t="shared" si="110"/>
        <v>1.467337485051347</v>
      </c>
      <c r="V138" s="17">
        <f t="shared" si="110"/>
        <v>1.2854202097679441</v>
      </c>
      <c r="W138" s="17">
        <f t="shared" si="110"/>
        <v>4.6071320376798148</v>
      </c>
      <c r="X138" s="17">
        <f t="shared" si="110"/>
        <v>2.647766735608645</v>
      </c>
      <c r="Y138" s="50">
        <f t="shared" si="113"/>
        <v>4.7641597126005548</v>
      </c>
      <c r="Z138" s="84">
        <f t="shared" si="114"/>
        <v>5.766204866059307</v>
      </c>
      <c r="AA138" s="5"/>
      <c r="AB138" s="17"/>
    </row>
    <row r="139" spans="1:28" ht="13.5" customHeight="1">
      <c r="A139" s="17">
        <f t="shared" si="115"/>
        <v>-240</v>
      </c>
      <c r="B139" s="55"/>
      <c r="D139" s="64">
        <f t="shared" si="106"/>
        <v>6.7314678014296021</v>
      </c>
      <c r="E139" s="52">
        <f t="shared" si="111"/>
        <v>3.508830751638118E-2</v>
      </c>
      <c r="F139" s="63">
        <f t="shared" si="112"/>
        <v>6.7665561089459834</v>
      </c>
      <c r="G139" s="17">
        <f t="shared" si="108"/>
        <v>31.126014388531839</v>
      </c>
      <c r="H139" s="17">
        <f t="shared" si="108"/>
        <v>47.423210663077043</v>
      </c>
      <c r="I139" s="17">
        <f t="shared" si="108"/>
        <v>67.128161757454535</v>
      </c>
      <c r="J139" s="17">
        <f t="shared" si="108"/>
        <v>90.019715616794485</v>
      </c>
      <c r="K139" s="17">
        <f t="shared" si="108"/>
        <v>115.1859727379539</v>
      </c>
      <c r="L139" s="63">
        <f t="shared" si="109"/>
        <v>6.5538393424475361</v>
      </c>
      <c r="M139" s="17">
        <f t="shared" si="110"/>
        <v>1662.2144414332395</v>
      </c>
      <c r="N139" s="17">
        <f t="shared" si="110"/>
        <v>41.302149360701762</v>
      </c>
      <c r="O139" s="17">
        <f t="shared" si="110"/>
        <v>6.4986928509808219</v>
      </c>
      <c r="P139" s="17">
        <f t="shared" si="110"/>
        <v>10.515487790373077</v>
      </c>
      <c r="Q139" s="17">
        <f t="shared" si="110"/>
        <v>24.48892616595521</v>
      </c>
      <c r="R139" s="17">
        <f t="shared" si="110"/>
        <v>6.0330874611625829</v>
      </c>
      <c r="S139" s="17">
        <f t="shared" si="110"/>
        <v>3.5546938506389885</v>
      </c>
      <c r="T139" s="17">
        <f t="shared" si="110"/>
        <v>11.360476463544764</v>
      </c>
      <c r="U139" s="17">
        <f t="shared" si="110"/>
        <v>1.5194482426656331</v>
      </c>
      <c r="V139" s="17">
        <f t="shared" si="110"/>
        <v>1.329063334810521</v>
      </c>
      <c r="W139" s="17">
        <f t="shared" si="110"/>
        <v>4.7485634455016381</v>
      </c>
      <c r="X139" s="17">
        <f t="shared" si="110"/>
        <v>2.7195594210834919</v>
      </c>
      <c r="Y139" s="50">
        <f t="shared" si="113"/>
        <v>5.3106523555320706</v>
      </c>
      <c r="Z139" s="84">
        <f t="shared" si="114"/>
        <v>6.8025194469059196</v>
      </c>
      <c r="AA139" s="5"/>
      <c r="AB139" s="17"/>
    </row>
    <row r="140" spans="1:28" ht="13.5" customHeight="1">
      <c r="A140" s="17">
        <f t="shared" si="115"/>
        <v>-220</v>
      </c>
      <c r="B140" s="83"/>
      <c r="D140" s="64">
        <f t="shared" si="106"/>
        <v>7.8416060393454412</v>
      </c>
      <c r="E140" s="52">
        <f t="shared" si="111"/>
        <v>4.7346148802066501E-2</v>
      </c>
      <c r="F140" s="63">
        <f t="shared" si="112"/>
        <v>7.888952188147508</v>
      </c>
      <c r="G140" s="17">
        <f t="shared" si="108"/>
        <v>42.342004327681167</v>
      </c>
      <c r="H140" s="17">
        <f t="shared" si="108"/>
        <v>64.368375799722855</v>
      </c>
      <c r="I140" s="17">
        <f t="shared" si="108"/>
        <v>90.843205952443469</v>
      </c>
      <c r="J140" s="17">
        <f t="shared" si="108"/>
        <v>121.35750673217669</v>
      </c>
      <c r="K140" s="17">
        <f t="shared" si="108"/>
        <v>154.55039520864077</v>
      </c>
      <c r="L140" s="63">
        <f t="shared" si="109"/>
        <v>7.6402289420601868</v>
      </c>
      <c r="M140" s="17">
        <f t="shared" si="110"/>
        <v>1892.5399447866846</v>
      </c>
      <c r="N140" s="17">
        <f t="shared" si="110"/>
        <v>44.613169250840087</v>
      </c>
      <c r="O140" s="17">
        <f t="shared" si="110"/>
        <v>6.9508089374863733</v>
      </c>
      <c r="P140" s="17">
        <f t="shared" si="110"/>
        <v>11.212615644101902</v>
      </c>
      <c r="Q140" s="17">
        <f t="shared" si="110"/>
        <v>25.910911069571782</v>
      </c>
      <c r="R140" s="17">
        <f t="shared" si="110"/>
        <v>6.3415485507331368</v>
      </c>
      <c r="S140" s="17">
        <f t="shared" si="110"/>
        <v>3.7253311618572882</v>
      </c>
      <c r="T140" s="17">
        <f t="shared" si="110"/>
        <v>11.838059939352259</v>
      </c>
      <c r="U140" s="17">
        <f t="shared" si="110"/>
        <v>1.5740534010799698</v>
      </c>
      <c r="V140" s="17">
        <f t="shared" si="110"/>
        <v>1.374702826986161</v>
      </c>
      <c r="W140" s="17">
        <f t="shared" si="110"/>
        <v>4.895857500930636</v>
      </c>
      <c r="X140" s="17">
        <f t="shared" si="110"/>
        <v>2.7939697829164629</v>
      </c>
      <c r="Y140" s="50">
        <f>100*(D143-D139)/(A143-A139)</f>
        <v>5.6055060962379422</v>
      </c>
      <c r="Z140" s="84">
        <f t="shared" si="114"/>
        <v>7.9272873513368243</v>
      </c>
      <c r="AA140" s="5"/>
      <c r="AB140" s="17"/>
    </row>
    <row r="141" spans="1:28" ht="13.5" customHeight="1">
      <c r="A141" s="17">
        <f t="shared" si="115"/>
        <v>-200</v>
      </c>
      <c r="B141" s="5">
        <f>B$136*SQRT(B$135/F141)</f>
        <v>11.139430136051688</v>
      </c>
      <c r="D141" s="67">
        <f t="shared" si="106"/>
        <v>8.99993130436137</v>
      </c>
      <c r="E141" s="67">
        <f t="shared" ref="E141:E142" si="116">0.0001*SUM(G141:K141)</f>
        <v>6.6295396019294045E-2</v>
      </c>
      <c r="F141" s="67">
        <f t="shared" ref="F141:F142" si="117">D141+E141</f>
        <v>9.066226700380664</v>
      </c>
      <c r="G141" s="17">
        <f t="shared" si="108"/>
        <v>60.002163562969351</v>
      </c>
      <c r="H141" s="17">
        <f t="shared" si="108"/>
        <v>90.9121668536892</v>
      </c>
      <c r="I141" s="17">
        <f t="shared" si="108"/>
        <v>127.73775307806838</v>
      </c>
      <c r="J141" s="17">
        <f t="shared" si="108"/>
        <v>169.68801112835141</v>
      </c>
      <c r="K141" s="17">
        <f t="shared" si="108"/>
        <v>214.6138655698621</v>
      </c>
      <c r="L141" s="67">
        <f t="shared" si="109"/>
        <v>8.7704679908821461</v>
      </c>
      <c r="M141" s="17">
        <f t="shared" si="110"/>
        <v>2165.588010308607</v>
      </c>
      <c r="N141" s="17">
        <f t="shared" si="110"/>
        <v>48.286433737644288</v>
      </c>
      <c r="O141" s="17">
        <f t="shared" si="110"/>
        <v>7.4456214179418012</v>
      </c>
      <c r="P141" s="17">
        <f t="shared" si="110"/>
        <v>11.972463195064664</v>
      </c>
      <c r="Q141" s="17">
        <f t="shared" si="110"/>
        <v>27.445122070858883</v>
      </c>
      <c r="R141" s="17">
        <f t="shared" si="110"/>
        <v>6.671333797738602</v>
      </c>
      <c r="S141" s="17">
        <f t="shared" si="110"/>
        <v>3.907045394791659</v>
      </c>
      <c r="T141" s="17">
        <f t="shared" si="110"/>
        <v>12.342906939061249</v>
      </c>
      <c r="U141" s="17">
        <f t="shared" si="110"/>
        <v>1.6313038464334404</v>
      </c>
      <c r="V141" s="17">
        <f t="shared" si="110"/>
        <v>1.4224540341560825</v>
      </c>
      <c r="W141" s="17">
        <f t="shared" si="110"/>
        <v>5.0493218884515993</v>
      </c>
      <c r="X141" s="17">
        <f t="shared" si="110"/>
        <v>2.871118161488285</v>
      </c>
      <c r="Y141" s="67">
        <f t="shared" ref="Y141:Y142" si="118">100*(D144-D140)/(A144-A140)</f>
        <v>5.4076005668071563</v>
      </c>
      <c r="Z141" s="85">
        <f t="shared" si="114"/>
        <v>9.0929190239515503</v>
      </c>
      <c r="AA141" s="5"/>
      <c r="AB141" s="17"/>
    </row>
    <row r="142" spans="1:28" ht="13.5" customHeight="1">
      <c r="A142" s="17">
        <f t="shared" si="115"/>
        <v>-180</v>
      </c>
      <c r="B142" s="5">
        <f t="shared" ref="B142:B205" si="119">B$136*SQRT(B$135/F142)</f>
        <v>10.480431445917647</v>
      </c>
      <c r="D142" s="67">
        <f t="shared" si="106"/>
        <v>10.144849853341288</v>
      </c>
      <c r="E142" s="67">
        <f t="shared" si="116"/>
        <v>9.7372487528886803E-2</v>
      </c>
      <c r="F142" s="67">
        <f t="shared" si="117"/>
        <v>10.242222340870175</v>
      </c>
      <c r="G142" s="17">
        <f t="shared" si="108"/>
        <v>89.794445865339853</v>
      </c>
      <c r="H142" s="17">
        <f t="shared" si="108"/>
        <v>135.32838193366592</v>
      </c>
      <c r="I142" s="17">
        <f t="shared" si="108"/>
        <v>188.81723441181694</v>
      </c>
      <c r="J142" s="17">
        <f t="shared" si="108"/>
        <v>248.63429626588461</v>
      </c>
      <c r="K142" s="17">
        <f t="shared" si="108"/>
        <v>311.15051681216073</v>
      </c>
      <c r="L142" s="67">
        <f t="shared" si="109"/>
        <v>9.8819707404969748</v>
      </c>
      <c r="M142" s="17">
        <f t="shared" si="110"/>
        <v>2491.1988820579872</v>
      </c>
      <c r="N142" s="17">
        <f t="shared" si="110"/>
        <v>52.372649913677556</v>
      </c>
      <c r="O142" s="17">
        <f t="shared" si="110"/>
        <v>7.9882618662907943</v>
      </c>
      <c r="P142" s="17">
        <f t="shared" si="110"/>
        <v>12.802210373092834</v>
      </c>
      <c r="Q142" s="17">
        <f t="shared" si="110"/>
        <v>29.102847242721783</v>
      </c>
      <c r="R142" s="17">
        <f t="shared" si="110"/>
        <v>7.0243120280590592</v>
      </c>
      <c r="S142" s="17">
        <f t="shared" si="110"/>
        <v>4.1007482954929895</v>
      </c>
      <c r="T142" s="17">
        <f t="shared" si="110"/>
        <v>12.876999231793661</v>
      </c>
      <c r="U142" s="17">
        <f t="shared" si="110"/>
        <v>1.6913615435439502</v>
      </c>
      <c r="V142" s="17">
        <f t="shared" si="110"/>
        <v>1.4724403971084081</v>
      </c>
      <c r="W142" s="17">
        <f t="shared" si="110"/>
        <v>5.2092839148775179</v>
      </c>
      <c r="X142" s="17">
        <f t="shared" si="110"/>
        <v>2.9511315784935848</v>
      </c>
      <c r="Y142" s="67">
        <f t="shared" si="118"/>
        <v>4.9701057918690728</v>
      </c>
      <c r="Z142" s="84">
        <f t="shared" si="114"/>
        <v>10.245074670779731</v>
      </c>
      <c r="AA142" s="5"/>
      <c r="AB142" s="17"/>
    </row>
    <row r="143" spans="1:28" ht="13.5" customHeight="1">
      <c r="A143" s="17">
        <f t="shared" si="115"/>
        <v>-160</v>
      </c>
      <c r="B143" s="5">
        <f t="shared" si="119"/>
        <v>9.9478357066226497</v>
      </c>
      <c r="D143" s="64">
        <f t="shared" si="106"/>
        <v>11.215872678419956</v>
      </c>
      <c r="E143" s="52">
        <f t="shared" si="111"/>
        <v>0.15242178692226629</v>
      </c>
      <c r="F143" s="63">
        <f t="shared" si="112"/>
        <v>11.368294465342222</v>
      </c>
      <c r="G143" s="17">
        <f t="shared" si="108"/>
        <v>145.0778856406217</v>
      </c>
      <c r="H143" s="17">
        <f t="shared" si="108"/>
        <v>216.60713335489956</v>
      </c>
      <c r="I143" s="17">
        <f t="shared" si="108"/>
        <v>298.59277320742774</v>
      </c>
      <c r="J143" s="17">
        <f t="shared" si="108"/>
        <v>387.42267438336518</v>
      </c>
      <c r="K143" s="17">
        <f t="shared" si="108"/>
        <v>476.51740263634872</v>
      </c>
      <c r="L143" s="63">
        <f t="shared" si="109"/>
        <v>10.91298978603113</v>
      </c>
      <c r="M143" s="17">
        <f t="shared" si="110"/>
        <v>2881.864341594388</v>
      </c>
      <c r="N143" s="17">
        <f t="shared" si="110"/>
        <v>56.931241836919533</v>
      </c>
      <c r="O143" s="17">
        <f t="shared" si="110"/>
        <v>8.5846153911450216</v>
      </c>
      <c r="P143" s="17">
        <f t="shared" si="110"/>
        <v>13.710041161278674</v>
      </c>
      <c r="Q143" s="17">
        <f t="shared" si="110"/>
        <v>30.896764001262245</v>
      </c>
      <c r="R143" s="17">
        <f t="shared" si="110"/>
        <v>7.4025514113655495</v>
      </c>
      <c r="S143" s="17">
        <f t="shared" si="110"/>
        <v>4.3074429799604035</v>
      </c>
      <c r="T143" s="17">
        <f t="shared" si="110"/>
        <v>13.442494711334289</v>
      </c>
      <c r="U143" s="17">
        <f t="shared" si="110"/>
        <v>1.7544004914598781</v>
      </c>
      <c r="V143" s="17">
        <f t="shared" si="110"/>
        <v>1.5247941039692809</v>
      </c>
      <c r="W143" s="17">
        <f t="shared" si="110"/>
        <v>5.3760920015172022</v>
      </c>
      <c r="X143" s="17">
        <f t="shared" si="110"/>
        <v>3.0341442036656407</v>
      </c>
      <c r="Y143" s="50">
        <f>100*(D144-D140)/(A144-A140)</f>
        <v>5.4076005668071563</v>
      </c>
      <c r="Z143" s="84">
        <f t="shared" si="114"/>
        <v>11.340029304617239</v>
      </c>
      <c r="AA143" s="5"/>
      <c r="AB143" s="17"/>
    </row>
    <row r="144" spans="1:28" ht="13.5" customHeight="1">
      <c r="A144" s="17">
        <f t="shared" si="115"/>
        <v>-140</v>
      </c>
      <c r="B144" s="5">
        <f t="shared" si="119"/>
        <v>9.5142164884318827</v>
      </c>
      <c r="D144" s="64">
        <f t="shared" si="106"/>
        <v>12.167686492791166</v>
      </c>
      <c r="E144" s="52">
        <f t="shared" si="111"/>
        <v>0.26046286979741989</v>
      </c>
      <c r="F144" s="63">
        <f t="shared" si="112"/>
        <v>12.428149362588586</v>
      </c>
      <c r="G144" s="17">
        <f t="shared" si="108"/>
        <v>263.02151823600315</v>
      </c>
      <c r="H144" s="17">
        <f t="shared" si="108"/>
        <v>385.40370226591483</v>
      </c>
      <c r="I144" s="17">
        <f t="shared" si="108"/>
        <v>519.03076572287227</v>
      </c>
      <c r="J144" s="17">
        <f t="shared" si="108"/>
        <v>655.31095115269045</v>
      </c>
      <c r="K144" s="17">
        <f t="shared" si="108"/>
        <v>781.86176059671845</v>
      </c>
      <c r="L144" s="63">
        <f t="shared" si="109"/>
        <v>11.816608533136515</v>
      </c>
      <c r="M144" s="17">
        <f t="shared" si="110"/>
        <v>3353.5105474463771</v>
      </c>
      <c r="N144" s="17">
        <f t="shared" si="110"/>
        <v>62.032139048655516</v>
      </c>
      <c r="O144" s="17">
        <f t="shared" si="110"/>
        <v>9.2414520604868962</v>
      </c>
      <c r="P144" s="17">
        <f t="shared" si="110"/>
        <v>14.705310353688715</v>
      </c>
      <c r="Q144" s="17">
        <f t="shared" si="110"/>
        <v>32.841142553251657</v>
      </c>
      <c r="R144" s="17">
        <f t="shared" si="110"/>
        <v>7.80834462983041</v>
      </c>
      <c r="S144" s="17">
        <f t="shared" si="110"/>
        <v>4.5282347652167028</v>
      </c>
      <c r="T144" s="17">
        <f t="shared" si="110"/>
        <v>14.041745997226677</v>
      </c>
      <c r="U144" s="17">
        <f t="shared" si="110"/>
        <v>1.8206077775620251</v>
      </c>
      <c r="V144" s="17">
        <f t="shared" si="110"/>
        <v>1.579656827465918</v>
      </c>
      <c r="W144" s="17">
        <f t="shared" si="110"/>
        <v>5.5501172832796142</v>
      </c>
      <c r="X144" s="17">
        <f t="shared" si="110"/>
        <v>3.1202978034671656</v>
      </c>
      <c r="Y144" s="50">
        <f t="shared" si="113"/>
        <v>4.400358148591681</v>
      </c>
      <c r="Z144" s="84">
        <f t="shared" si="114"/>
        <v>12.368069726861135</v>
      </c>
      <c r="AA144" s="5"/>
      <c r="AB144" s="17"/>
    </row>
    <row r="145" spans="1:28" ht="13.5" customHeight="1">
      <c r="A145" s="17">
        <f t="shared" si="115"/>
        <v>-120</v>
      </c>
      <c r="B145" s="5">
        <f t="shared" si="119"/>
        <v>9.1356708763406491</v>
      </c>
      <c r="D145" s="64">
        <f t="shared" si="106"/>
        <v>12.976015937856628</v>
      </c>
      <c r="E145" s="52">
        <f t="shared" si="111"/>
        <v>0.50341730021607034</v>
      </c>
      <c r="F145" s="63">
        <f t="shared" si="112"/>
        <v>13.479433238072698</v>
      </c>
      <c r="G145" s="17">
        <f t="shared" si="108"/>
        <v>576.18489462507273</v>
      </c>
      <c r="H145" s="17">
        <f t="shared" si="108"/>
        <v>806.81373403017005</v>
      </c>
      <c r="I145" s="17">
        <f t="shared" si="108"/>
        <v>1031.380252170015</v>
      </c>
      <c r="J145" s="17">
        <f t="shared" si="108"/>
        <v>1231.5007754069334</v>
      </c>
      <c r="K145" s="17">
        <f t="shared" si="108"/>
        <v>1388.2933459285127</v>
      </c>
      <c r="L145" s="63">
        <f t="shared" si="109"/>
        <v>12.566502229612299</v>
      </c>
      <c r="M145" s="17">
        <f t="shared" si="110"/>
        <v>3926.5069115845154</v>
      </c>
      <c r="N145" s="17">
        <f t="shared" si="110"/>
        <v>67.757993819291741</v>
      </c>
      <c r="O145" s="17">
        <f t="shared" si="110"/>
        <v>9.9665849988490702</v>
      </c>
      <c r="P145" s="17">
        <f t="shared" si="110"/>
        <v>15.798742533433751</v>
      </c>
      <c r="Q145" s="17">
        <f t="shared" si="110"/>
        <v>34.952084084964049</v>
      </c>
      <c r="R145" s="17">
        <f t="shared" si="110"/>
        <v>8.2442377109071519</v>
      </c>
      <c r="S145" s="17">
        <f t="shared" si="110"/>
        <v>4.7643435018077271</v>
      </c>
      <c r="T145" s="17">
        <f t="shared" si="110"/>
        <v>14.677321329890317</v>
      </c>
      <c r="U145" s="17">
        <f t="shared" si="110"/>
        <v>1.8901847345664133</v>
      </c>
      <c r="V145" s="17">
        <f t="shared" si="110"/>
        <v>1.637180516085778</v>
      </c>
      <c r="W145" s="17">
        <f t="shared" si="110"/>
        <v>5.7317553659380112</v>
      </c>
      <c r="X145" s="17">
        <f t="shared" si="110"/>
        <v>3.2097422630464902</v>
      </c>
      <c r="Y145" s="50">
        <f t="shared" si="113"/>
        <v>3.6681861261131532</v>
      </c>
      <c r="Z145" s="84">
        <f t="shared" si="114"/>
        <v>13.401288658125047</v>
      </c>
      <c r="AA145" s="5"/>
    </row>
    <row r="146" spans="1:28" ht="13.5" customHeight="1">
      <c r="A146" s="17">
        <f t="shared" si="115"/>
        <v>-100</v>
      </c>
      <c r="B146" s="5">
        <f t="shared" si="119"/>
        <v>8.7246085909833582</v>
      </c>
      <c r="D146" s="64">
        <f t="shared" si="106"/>
        <v>13.634960943236427</v>
      </c>
      <c r="E146" s="52">
        <f t="shared" si="111"/>
        <v>1.1445688565536376</v>
      </c>
      <c r="F146" s="63">
        <f t="shared" si="112"/>
        <v>14.779529799790065</v>
      </c>
      <c r="G146" s="17">
        <f t="shared" ref="G146:K155" si="120">200*PI()*G$50*((G$24-$A146)*(ASINH(G$32/MAX(ABS(G$24-$A146),0.000001))-ASINH(G$28/MAX(ABS(G$24-$A146),0.000001)))-(G$22-$A146)*(ASINH(G$32/MAX(ABS(G$22-$A146),0.000001))-ASINH(G$28/MAX(ABS(G$22-$A146),0.000001))))</f>
        <v>1752.1636739212663</v>
      </c>
      <c r="H146" s="17">
        <f t="shared" si="120"/>
        <v>2138.0984423638697</v>
      </c>
      <c r="I146" s="17">
        <f t="shared" si="120"/>
        <v>2400.3218672684529</v>
      </c>
      <c r="J146" s="17">
        <f t="shared" si="120"/>
        <v>2552.3318685950635</v>
      </c>
      <c r="K146" s="17">
        <f t="shared" si="120"/>
        <v>2602.772713387722</v>
      </c>
      <c r="L146" s="63">
        <f t="shared" si="109"/>
        <v>13.154147307658317</v>
      </c>
      <c r="M146" s="17">
        <f t="shared" ref="M146:X155" si="121">200*PI()*M$50*((M$24-$A146)*(ASINH(M$32/MAX(ABS(M$24-$A146),0.000001))-ASINH(M$28/MAX(ABS(M$24-$A146),0.000001)))-(M$22-$A146)*(ASINH(M$32/MAX(ABS(M$22-$A146),0.000001))-ASINH(M$28/MAX(ABS(M$22-$A146),0.000001))))</f>
        <v>4626.9427285958536</v>
      </c>
      <c r="N146" s="17">
        <f t="shared" si="121"/>
        <v>74.206945210168556</v>
      </c>
      <c r="O146" s="17">
        <f t="shared" si="121"/>
        <v>10.76906134071427</v>
      </c>
      <c r="P146" s="17">
        <f t="shared" si="121"/>
        <v>17.002670382372056</v>
      </c>
      <c r="Q146" s="17">
        <f t="shared" si="121"/>
        <v>37.247800466338362</v>
      </c>
      <c r="R146" s="17">
        <f t="shared" si="121"/>
        <v>8.7130631823480531</v>
      </c>
      <c r="S146" s="17">
        <f t="shared" si="121"/>
        <v>5.0171176264784654</v>
      </c>
      <c r="T146" s="17">
        <f t="shared" si="121"/>
        <v>15.352028089119623</v>
      </c>
      <c r="U146" s="17">
        <f t="shared" si="121"/>
        <v>1.9633482304701964</v>
      </c>
      <c r="V146" s="17">
        <f t="shared" si="121"/>
        <v>1.6975283020210132</v>
      </c>
      <c r="W146" s="17">
        <f t="shared" si="121"/>
        <v>5.9214282301905179</v>
      </c>
      <c r="X146" s="17">
        <f t="shared" si="121"/>
        <v>3.3026361250359879</v>
      </c>
      <c r="Y146" s="50">
        <f t="shared" si="113"/>
        <v>3.1131811566110437</v>
      </c>
      <c r="Z146" s="84">
        <f t="shared" si="114"/>
        <v>14.745827590757264</v>
      </c>
      <c r="AA146" s="5"/>
      <c r="AB146" s="5"/>
    </row>
    <row r="147" spans="1:28" ht="13.5" customHeight="1">
      <c r="A147" s="17">
        <v>-90</v>
      </c>
      <c r="B147" s="5">
        <f t="shared" si="119"/>
        <v>8.4582826418256296</v>
      </c>
      <c r="D147" s="64">
        <f t="shared" si="106"/>
        <v>13.909970284839941</v>
      </c>
      <c r="E147" s="52">
        <f t="shared" si="111"/>
        <v>1.8149385240982903</v>
      </c>
      <c r="F147" s="63">
        <f t="shared" si="112"/>
        <v>15.724908808938231</v>
      </c>
      <c r="G147" s="17">
        <f t="shared" si="120"/>
        <v>3522.0235431133242</v>
      </c>
      <c r="H147" s="17">
        <f t="shared" si="120"/>
        <v>3711.4235741609541</v>
      </c>
      <c r="I147" s="17">
        <f t="shared" si="120"/>
        <v>3736.5273824126962</v>
      </c>
      <c r="J147" s="17">
        <f t="shared" si="120"/>
        <v>3664.2032125038545</v>
      </c>
      <c r="K147" s="17">
        <f t="shared" si="120"/>
        <v>3515.2075287920725</v>
      </c>
      <c r="L147" s="63">
        <f t="shared" si="109"/>
        <v>13.387667779401896</v>
      </c>
      <c r="M147" s="17">
        <f t="shared" si="121"/>
        <v>5035.0464524099707</v>
      </c>
      <c r="N147" s="17">
        <f t="shared" si="121"/>
        <v>77.738320665103231</v>
      </c>
      <c r="O147" s="17">
        <f t="shared" si="121"/>
        <v>11.20252395909527</v>
      </c>
      <c r="P147" s="17">
        <f t="shared" si="121"/>
        <v>17.650433225187513</v>
      </c>
      <c r="Q147" s="17">
        <f t="shared" si="121"/>
        <v>38.471297495966205</v>
      </c>
      <c r="R147" s="17">
        <f t="shared" si="121"/>
        <v>8.9607983420727528</v>
      </c>
      <c r="S147" s="17">
        <f t="shared" si="121"/>
        <v>5.1502146628114573</v>
      </c>
      <c r="T147" s="17">
        <f t="shared" si="121"/>
        <v>15.705004896091593</v>
      </c>
      <c r="U147" s="17">
        <f t="shared" si="121"/>
        <v>2.0013472935476702</v>
      </c>
      <c r="V147" s="17">
        <f t="shared" si="121"/>
        <v>1.7288154953417536</v>
      </c>
      <c r="W147" s="17">
        <f t="shared" si="121"/>
        <v>6.0194172978763607</v>
      </c>
      <c r="X147" s="17">
        <f t="shared" si="121"/>
        <v>3.350428637387219</v>
      </c>
      <c r="Y147" s="50">
        <f t="shared" si="113"/>
        <v>2.5770361190309288</v>
      </c>
      <c r="Z147" s="84">
        <f t="shared" si="114"/>
        <v>15.731248540893787</v>
      </c>
      <c r="AA147" s="5"/>
      <c r="AB147" s="5">
        <f>-MIN(AB150:AB226)</f>
        <v>1.0618625105471984</v>
      </c>
    </row>
    <row r="148" spans="1:28" ht="13.5" customHeight="1">
      <c r="A148" s="17">
        <f t="shared" si="115"/>
        <v>-80</v>
      </c>
      <c r="B148" s="5">
        <f t="shared" si="119"/>
        <v>8.1555730478904405</v>
      </c>
      <c r="D148" s="64">
        <f t="shared" si="106"/>
        <v>14.150368167042613</v>
      </c>
      <c r="E148" s="52">
        <f t="shared" si="111"/>
        <v>2.763524041075454</v>
      </c>
      <c r="F148" s="63">
        <f t="shared" si="112"/>
        <v>16.913892208118067</v>
      </c>
      <c r="G148" s="17">
        <f t="shared" si="120"/>
        <v>6614.7619177818697</v>
      </c>
      <c r="H148" s="17">
        <f t="shared" si="120"/>
        <v>5997.1123823261087</v>
      </c>
      <c r="I148" s="17">
        <f t="shared" si="120"/>
        <v>5466.0109730417116</v>
      </c>
      <c r="J148" s="17">
        <f t="shared" si="120"/>
        <v>4999.7456541764386</v>
      </c>
      <c r="K148" s="17">
        <f t="shared" si="120"/>
        <v>4557.6094834284086</v>
      </c>
      <c r="L148" s="63">
        <f t="shared" si="109"/>
        <v>13.582036149076838</v>
      </c>
      <c r="M148" s="17">
        <f t="shared" si="121"/>
        <v>5488.1895271531484</v>
      </c>
      <c r="N148" s="17">
        <f t="shared" si="121"/>
        <v>81.496084834614848</v>
      </c>
      <c r="O148" s="17">
        <f t="shared" si="121"/>
        <v>11.659393864542993</v>
      </c>
      <c r="P148" s="17">
        <f t="shared" si="121"/>
        <v>18.331321263787014</v>
      </c>
      <c r="Q148" s="17">
        <f t="shared" si="121"/>
        <v>39.748943801273029</v>
      </c>
      <c r="R148" s="17">
        <f t="shared" si="121"/>
        <v>9.2179782313140368</v>
      </c>
      <c r="S148" s="17">
        <f t="shared" si="121"/>
        <v>5.288050221717266</v>
      </c>
      <c r="T148" s="17">
        <f t="shared" si="121"/>
        <v>16.068939273489057</v>
      </c>
      <c r="U148" s="17">
        <f t="shared" si="121"/>
        <v>2.04033207928881</v>
      </c>
      <c r="V148" s="17">
        <f t="shared" si="121"/>
        <v>1.7608754393753463</v>
      </c>
      <c r="W148" s="17">
        <f t="shared" si="121"/>
        <v>6.11958631906968</v>
      </c>
      <c r="X148" s="17">
        <f t="shared" si="121"/>
        <v>3.3991471761252066</v>
      </c>
      <c r="Y148" s="50">
        <f t="shared" si="113"/>
        <v>2.2384692442483267</v>
      </c>
      <c r="Z148" s="84">
        <f t="shared" si="114"/>
        <v>16.900946999500412</v>
      </c>
      <c r="AA148" s="5"/>
      <c r="AB148" s="5">
        <f>MAX(AB150:AB226)</f>
        <v>0.12923234579895748</v>
      </c>
    </row>
    <row r="149" spans="1:28" ht="13.5" customHeight="1">
      <c r="A149" s="17">
        <f t="shared" si="115"/>
        <v>-70</v>
      </c>
      <c r="B149" s="5">
        <f t="shared" si="119"/>
        <v>7.9041139305444341</v>
      </c>
      <c r="D149" s="64">
        <f t="shared" si="106"/>
        <v>14.357664133689607</v>
      </c>
      <c r="E149" s="52">
        <f t="shared" si="111"/>
        <v>3.6495338397551547</v>
      </c>
      <c r="F149" s="63">
        <f t="shared" si="112"/>
        <v>18.007197973444761</v>
      </c>
      <c r="G149" s="17">
        <f t="shared" si="120"/>
        <v>9390.6909841749894</v>
      </c>
      <c r="H149" s="17">
        <f t="shared" si="120"/>
        <v>8128.1013381201528</v>
      </c>
      <c r="I149" s="17">
        <f t="shared" si="120"/>
        <v>7114.4885117078702</v>
      </c>
      <c r="J149" s="17">
        <f t="shared" si="120"/>
        <v>6289.660547381759</v>
      </c>
      <c r="K149" s="17">
        <f t="shared" si="120"/>
        <v>5572.3970161667748</v>
      </c>
      <c r="L149" s="63">
        <f t="shared" si="109"/>
        <v>13.738198855772506</v>
      </c>
      <c r="M149" s="17">
        <f t="shared" si="121"/>
        <v>5991.976703800643</v>
      </c>
      <c r="N149" s="17">
        <f t="shared" si="121"/>
        <v>85.498551916162342</v>
      </c>
      <c r="O149" s="17">
        <f t="shared" si="121"/>
        <v>12.141260427113929</v>
      </c>
      <c r="P149" s="17">
        <f t="shared" si="121"/>
        <v>19.047465687632737</v>
      </c>
      <c r="Q149" s="17">
        <f t="shared" si="121"/>
        <v>41.083766053388018</v>
      </c>
      <c r="R149" s="17">
        <f t="shared" si="121"/>
        <v>9.4850554552343809</v>
      </c>
      <c r="S149" s="17">
        <f t="shared" si="121"/>
        <v>5.4308365550130535</v>
      </c>
      <c r="T149" s="17">
        <f t="shared" si="121"/>
        <v>16.444261757841304</v>
      </c>
      <c r="U149" s="17">
        <f t="shared" si="121"/>
        <v>2.0803347166126596</v>
      </c>
      <c r="V149" s="17">
        <f t="shared" si="121"/>
        <v>1.7937321103309298</v>
      </c>
      <c r="W149" s="17">
        <f t="shared" si="121"/>
        <v>6.2219964200234052</v>
      </c>
      <c r="X149" s="17">
        <f t="shared" si="121"/>
        <v>3.4488142710177376</v>
      </c>
      <c r="Y149" s="68">
        <f t="shared" si="113"/>
        <v>1.9151749824550635</v>
      </c>
      <c r="Z149" s="84">
        <f t="shared" si="114"/>
        <v>17.969946142541925</v>
      </c>
      <c r="AA149" s="5"/>
      <c r="AB149" s="2" t="s">
        <v>171</v>
      </c>
    </row>
    <row r="150" spans="1:28" ht="13.5" customHeight="1">
      <c r="A150" s="17">
        <f t="shared" si="115"/>
        <v>-60</v>
      </c>
      <c r="B150" s="5">
        <f t="shared" si="119"/>
        <v>7.7435788059897437</v>
      </c>
      <c r="D150" s="64">
        <f t="shared" si="106"/>
        <v>14.533403163533626</v>
      </c>
      <c r="E150" s="54">
        <f t="shared" ref="E150:E193" si="122">0.0001*SUM(G150:K150)</f>
        <v>4.2281624897371914</v>
      </c>
      <c r="F150" s="63">
        <f t="shared" si="112"/>
        <v>18.761565653270818</v>
      </c>
      <c r="G150" s="17">
        <f t="shared" si="120"/>
        <v>10800.942340451449</v>
      </c>
      <c r="H150" s="17">
        <f t="shared" si="120"/>
        <v>9462.8603758229947</v>
      </c>
      <c r="I150" s="17">
        <f t="shared" si="120"/>
        <v>8297.4357365965279</v>
      </c>
      <c r="J150" s="17">
        <f t="shared" si="120"/>
        <v>7302.1276865504224</v>
      </c>
      <c r="K150" s="17">
        <f t="shared" si="120"/>
        <v>6418.2587579505116</v>
      </c>
      <c r="L150" s="63">
        <f t="shared" si="109"/>
        <v>13.857069134047482</v>
      </c>
      <c r="M150" s="17">
        <f t="shared" si="121"/>
        <v>6552.6967710042927</v>
      </c>
      <c r="N150" s="17">
        <f t="shared" si="121"/>
        <v>89.765828891852209</v>
      </c>
      <c r="O150" s="17">
        <f t="shared" si="121"/>
        <v>12.649843235395224</v>
      </c>
      <c r="P150" s="17">
        <f t="shared" si="121"/>
        <v>19.801163240975093</v>
      </c>
      <c r="Q150" s="17">
        <f t="shared" si="121"/>
        <v>42.478995991289921</v>
      </c>
      <c r="R150" s="17">
        <f t="shared" si="121"/>
        <v>9.7625087884101767</v>
      </c>
      <c r="S150" s="17">
        <f t="shared" si="121"/>
        <v>5.5787973961641084</v>
      </c>
      <c r="T150" s="17">
        <f t="shared" si="121"/>
        <v>16.831423433726993</v>
      </c>
      <c r="U150" s="17">
        <f t="shared" si="121"/>
        <v>2.1213885997071125</v>
      </c>
      <c r="V150" s="17">
        <f t="shared" si="121"/>
        <v>1.8274103855084203</v>
      </c>
      <c r="W150" s="17">
        <f t="shared" si="121"/>
        <v>6.3267107951372159</v>
      </c>
      <c r="X150" s="17">
        <f t="shared" si="121"/>
        <v>3.499453098983222</v>
      </c>
      <c r="Y150" s="68">
        <f t="shared" si="113"/>
        <v>1.6070546987442835</v>
      </c>
      <c r="Z150" s="84">
        <f t="shared" si="114"/>
        <v>18.735859586107711</v>
      </c>
      <c r="AA150" s="5"/>
      <c r="AB150" s="5"/>
    </row>
    <row r="151" spans="1:28" ht="13.5" customHeight="1">
      <c r="A151" s="17">
        <f t="shared" si="115"/>
        <v>-50</v>
      </c>
      <c r="B151" s="5">
        <f t="shared" si="119"/>
        <v>7.6453268816167732</v>
      </c>
      <c r="D151" s="64">
        <f t="shared" si="106"/>
        <v>14.679075073438463</v>
      </c>
      <c r="E151" s="54">
        <f t="shared" si="122"/>
        <v>4.5678078692267681</v>
      </c>
      <c r="F151" s="63">
        <f t="shared" si="112"/>
        <v>19.246882942665231</v>
      </c>
      <c r="G151" s="17">
        <f t="shared" si="120"/>
        <v>11432.404822222996</v>
      </c>
      <c r="H151" s="17">
        <f t="shared" si="120"/>
        <v>10176.875957590504</v>
      </c>
      <c r="I151" s="17">
        <f t="shared" si="120"/>
        <v>9026.0066831854874</v>
      </c>
      <c r="J151" s="17">
        <f t="shared" si="120"/>
        <v>7996.3046540190571</v>
      </c>
      <c r="K151" s="17">
        <f t="shared" si="120"/>
        <v>7046.4865752496335</v>
      </c>
      <c r="L151" s="63">
        <f t="shared" si="109"/>
        <v>13.93943131873788</v>
      </c>
      <c r="M151" s="17">
        <f t="shared" si="121"/>
        <v>7177.3732850130727</v>
      </c>
      <c r="N151" s="17">
        <f t="shared" si="121"/>
        <v>94.320021677691713</v>
      </c>
      <c r="O151" s="17">
        <f t="shared" si="121"/>
        <v>13.187004611980278</v>
      </c>
      <c r="P151" s="17">
        <f t="shared" si="121"/>
        <v>20.594891322923775</v>
      </c>
      <c r="Q151" s="17">
        <f t="shared" si="121"/>
        <v>43.938086783155917</v>
      </c>
      <c r="R151" s="17">
        <f t="shared" si="121"/>
        <v>10.050844949737392</v>
      </c>
      <c r="S151" s="17">
        <f t="shared" si="121"/>
        <v>5.7321686908703002</v>
      </c>
      <c r="T151" s="17">
        <f t="shared" si="121"/>
        <v>17.230897107196828</v>
      </c>
      <c r="U151" s="17">
        <f t="shared" si="121"/>
        <v>2.1635284459501274</v>
      </c>
      <c r="V151" s="17">
        <f t="shared" si="121"/>
        <v>1.861936075709886</v>
      </c>
      <c r="W151" s="17">
        <f t="shared" si="121"/>
        <v>6.4337948000935814</v>
      </c>
      <c r="X151" s="17">
        <f t="shared" si="121"/>
        <v>3.5510875274526343</v>
      </c>
      <c r="Y151" s="68">
        <f t="shared" si="113"/>
        <v>1.3132366621584168</v>
      </c>
      <c r="Z151" s="84">
        <f t="shared" si="114"/>
        <v>19.230952563994983</v>
      </c>
      <c r="AA151" s="5"/>
      <c r="AB151" s="5"/>
    </row>
    <row r="152" spans="1:28" ht="13.5" customHeight="1">
      <c r="A152" s="17">
        <f t="shared" si="115"/>
        <v>-40</v>
      </c>
      <c r="B152" s="5">
        <f t="shared" si="119"/>
        <v>7.5832653397065277</v>
      </c>
      <c r="D152" s="64">
        <f t="shared" si="106"/>
        <v>14.796050495965309</v>
      </c>
      <c r="E152" s="54">
        <f t="shared" si="122"/>
        <v>4.767155045087236</v>
      </c>
      <c r="F152" s="63">
        <f t="shared" si="112"/>
        <v>19.563205541052547</v>
      </c>
      <c r="G152" s="17">
        <f t="shared" si="120"/>
        <v>11735.288710183448</v>
      </c>
      <c r="H152" s="17">
        <f t="shared" si="120"/>
        <v>10557.546467956066</v>
      </c>
      <c r="I152" s="17">
        <f t="shared" si="120"/>
        <v>9455.1707947322448</v>
      </c>
      <c r="J152" s="17">
        <f t="shared" si="120"/>
        <v>8442.5878498329457</v>
      </c>
      <c r="K152" s="17">
        <f t="shared" si="120"/>
        <v>7480.9566281676543</v>
      </c>
      <c r="L152" s="63">
        <f t="shared" si="109"/>
        <v>13.98587315099738</v>
      </c>
      <c r="M152" s="17">
        <f t="shared" si="121"/>
        <v>7873.8009992140242</v>
      </c>
      <c r="N152" s="17">
        <f t="shared" si="121"/>
        <v>99.18546850242285</v>
      </c>
      <c r="O152" s="17">
        <f t="shared" si="121"/>
        <v>13.754763502263758</v>
      </c>
      <c r="P152" s="17">
        <f t="shared" si="121"/>
        <v>21.431324654431783</v>
      </c>
      <c r="Q152" s="17">
        <f t="shared" si="121"/>
        <v>45.464730905268198</v>
      </c>
      <c r="R152" s="17">
        <f t="shared" si="121"/>
        <v>10.35060051893837</v>
      </c>
      <c r="S152" s="17">
        <f t="shared" si="121"/>
        <v>5.8911993796294437</v>
      </c>
      <c r="T152" s="17">
        <f t="shared" si="121"/>
        <v>17.643178517159441</v>
      </c>
      <c r="U152" s="17">
        <f t="shared" si="121"/>
        <v>2.2067903530508088</v>
      </c>
      <c r="V152" s="17">
        <f t="shared" si="121"/>
        <v>1.8973359692571821</v>
      </c>
      <c r="W152" s="17">
        <f t="shared" si="121"/>
        <v>6.5433160318500052</v>
      </c>
      <c r="X152" s="17">
        <f t="shared" si="121"/>
        <v>3.6037421309963764</v>
      </c>
      <c r="Y152" s="66">
        <f t="shared" si="113"/>
        <v>1.032314839181101</v>
      </c>
      <c r="Z152" s="84">
        <f t="shared" si="114"/>
        <v>19.549595675873576</v>
      </c>
      <c r="AA152" s="5"/>
      <c r="AB152" s="5"/>
    </row>
    <row r="153" spans="1:28" ht="13.5" customHeight="1">
      <c r="A153" s="17">
        <f t="shared" si="115"/>
        <v>-30</v>
      </c>
      <c r="B153" s="5">
        <f t="shared" si="119"/>
        <v>7.543305551579941</v>
      </c>
      <c r="D153" s="64">
        <f t="shared" si="106"/>
        <v>14.885538041274684</v>
      </c>
      <c r="E153" s="54">
        <f t="shared" si="122"/>
        <v>4.8854841222987</v>
      </c>
      <c r="F153" s="63">
        <f t="shared" si="112"/>
        <v>19.771022163573384</v>
      </c>
      <c r="G153" s="17">
        <f t="shared" si="120"/>
        <v>11892.503541568556</v>
      </c>
      <c r="H153" s="17">
        <f t="shared" si="120"/>
        <v>10767.233567422451</v>
      </c>
      <c r="I153" s="17">
        <f t="shared" si="120"/>
        <v>9706.8752620253199</v>
      </c>
      <c r="J153" s="17">
        <f t="shared" si="120"/>
        <v>8720.8238214480534</v>
      </c>
      <c r="K153" s="17">
        <f t="shared" si="120"/>
        <v>7767.405030522621</v>
      </c>
      <c r="L153" s="63">
        <f t="shared" si="109"/>
        <v>13.996741780453865</v>
      </c>
      <c r="M153" s="17">
        <f t="shared" si="121"/>
        <v>8650.5571390403056</v>
      </c>
      <c r="N153" s="17">
        <f t="shared" si="121"/>
        <v>104.38900455626452</v>
      </c>
      <c r="O153" s="17">
        <f t="shared" si="121"/>
        <v>14.355310913792094</v>
      </c>
      <c r="P153" s="17">
        <f t="shared" si="121"/>
        <v>22.313353723345255</v>
      </c>
      <c r="Q153" s="17">
        <f t="shared" si="121"/>
        <v>47.062879678828359</v>
      </c>
      <c r="R153" s="17">
        <f t="shared" si="121"/>
        <v>10.662343999508483</v>
      </c>
      <c r="S153" s="17">
        <f t="shared" si="121"/>
        <v>6.0561522409355772</v>
      </c>
      <c r="T153" s="17">
        <f t="shared" si="121"/>
        <v>18.068787669524429</v>
      </c>
      <c r="U153" s="17">
        <f t="shared" si="121"/>
        <v>2.251211864972956</v>
      </c>
      <c r="V153" s="17">
        <f t="shared" si="121"/>
        <v>1.9336378803266321</v>
      </c>
      <c r="W153" s="17">
        <f t="shared" si="121"/>
        <v>6.6553444249973017</v>
      </c>
      <c r="X153" s="17">
        <f t="shared" si="121"/>
        <v>3.6574422153887167</v>
      </c>
      <c r="Y153" s="50">
        <f t="shared" si="113"/>
        <v>0.76253606756148784</v>
      </c>
      <c r="Z153" s="84">
        <f t="shared" si="114"/>
        <v>19.757688433803363</v>
      </c>
      <c r="AA153" s="5"/>
      <c r="AB153" s="5"/>
    </row>
    <row r="154" spans="1:28" ht="13.5" customHeight="1">
      <c r="A154" s="17">
        <f t="shared" si="115"/>
        <v>-20</v>
      </c>
      <c r="B154" s="5">
        <f t="shared" si="119"/>
        <v>7.5182504090149962</v>
      </c>
      <c r="D154" s="64">
        <f t="shared" si="106"/>
        <v>14.948557709477607</v>
      </c>
      <c r="E154" s="54">
        <f t="shared" si="122"/>
        <v>4.9544609091425063</v>
      </c>
      <c r="F154" s="63">
        <f t="shared" si="112"/>
        <v>19.903018618620113</v>
      </c>
      <c r="G154" s="17">
        <f t="shared" si="120"/>
        <v>11976.715009362597</v>
      </c>
      <c r="H154" s="17">
        <f t="shared" si="120"/>
        <v>10883.377085664293</v>
      </c>
      <c r="I154" s="17">
        <f t="shared" si="120"/>
        <v>9851.6641142379904</v>
      </c>
      <c r="J154" s="17">
        <f t="shared" si="120"/>
        <v>8887.3120271629596</v>
      </c>
      <c r="K154" s="17">
        <f t="shared" si="120"/>
        <v>7945.5408549972171</v>
      </c>
      <c r="L154" s="63">
        <f t="shared" si="109"/>
        <v>13.972120072823143</v>
      </c>
      <c r="M154" s="17">
        <f t="shared" si="121"/>
        <v>9516.9720849817622</v>
      </c>
      <c r="N154" s="17">
        <f t="shared" si="121"/>
        <v>109.96026264545279</v>
      </c>
      <c r="O154" s="17">
        <f t="shared" si="121"/>
        <v>14.991027106580679</v>
      </c>
      <c r="P154" s="17">
        <f t="shared" si="121"/>
        <v>23.244105203588511</v>
      </c>
      <c r="Q154" s="17">
        <f t="shared" si="121"/>
        <v>48.736764651980124</v>
      </c>
      <c r="R154" s="17">
        <f t="shared" si="121"/>
        <v>10.986678038885737</v>
      </c>
      <c r="S154" s="17">
        <f t="shared" si="121"/>
        <v>6.2273047888758972</v>
      </c>
      <c r="T154" s="17">
        <f t="shared" si="121"/>
        <v>18.508270230667698</v>
      </c>
      <c r="U154" s="17">
        <f t="shared" si="121"/>
        <v>2.2968320473781381</v>
      </c>
      <c r="V154" s="17">
        <f t="shared" si="121"/>
        <v>1.9708706863187886</v>
      </c>
      <c r="W154" s="17">
        <f t="shared" si="121"/>
        <v>6.7699523273665889</v>
      </c>
      <c r="X154" s="17">
        <f t="shared" si="121"/>
        <v>3.7122138357805614</v>
      </c>
      <c r="Y154" s="50">
        <f t="shared" si="113"/>
        <v>0.50194169449812698</v>
      </c>
      <c r="Z154" s="84">
        <f t="shared" si="114"/>
        <v>19.891311556369882</v>
      </c>
      <c r="AA154" s="5"/>
      <c r="AB154" s="5"/>
    </row>
    <row r="155" spans="1:28" ht="13.5" customHeight="1">
      <c r="A155" s="17">
        <f t="shared" si="115"/>
        <v>-10</v>
      </c>
      <c r="B155" s="5">
        <f t="shared" si="119"/>
        <v>7.5044251936546011</v>
      </c>
      <c r="D155" s="64">
        <f t="shared" si="106"/>
        <v>14.985926380174309</v>
      </c>
      <c r="E155" s="54">
        <f t="shared" si="122"/>
        <v>4.9904934584089196</v>
      </c>
      <c r="F155" s="63">
        <f t="shared" si="112"/>
        <v>19.976419838583229</v>
      </c>
      <c r="G155" s="17">
        <f t="shared" si="120"/>
        <v>12018.590184037492</v>
      </c>
      <c r="H155" s="17">
        <f t="shared" si="120"/>
        <v>10942.192032525927</v>
      </c>
      <c r="I155" s="17">
        <f t="shared" si="120"/>
        <v>9926.5678551176079</v>
      </c>
      <c r="J155" s="17">
        <f t="shared" si="120"/>
        <v>8975.464844518363</v>
      </c>
      <c r="K155" s="17">
        <f t="shared" si="120"/>
        <v>8042.119667889795</v>
      </c>
      <c r="L155" s="63">
        <f t="shared" si="109"/>
        <v>13.911821185326209</v>
      </c>
      <c r="M155" s="17">
        <f t="shared" si="121"/>
        <v>10483.038101245324</v>
      </c>
      <c r="N155" s="17">
        <f t="shared" si="121"/>
        <v>115.93201534821604</v>
      </c>
      <c r="O155" s="17">
        <f t="shared" si="121"/>
        <v>15.664500755044397</v>
      </c>
      <c r="P155" s="17">
        <f t="shared" si="121"/>
        <v>24.226964593832115</v>
      </c>
      <c r="Q155" s="17">
        <f t="shared" si="121"/>
        <v>50.490921019052436</v>
      </c>
      <c r="R155" s="17">
        <f t="shared" si="121"/>
        <v>11.32424184668775</v>
      </c>
      <c r="S155" s="17">
        <f t="shared" si="121"/>
        <v>6.4049502482862195</v>
      </c>
      <c r="T155" s="17">
        <f t="shared" si="121"/>
        <v>18.962199027101292</v>
      </c>
      <c r="U155" s="17">
        <f t="shared" si="121"/>
        <v>2.3436915484807765</v>
      </c>
      <c r="V155" s="17">
        <f t="shared" si="121"/>
        <v>2.0090643814290945</v>
      </c>
      <c r="W155" s="17">
        <f t="shared" si="121"/>
        <v>6.8872146321922729</v>
      </c>
      <c r="X155" s="17">
        <f t="shared" si="121"/>
        <v>3.7680838353423116</v>
      </c>
      <c r="Y155" s="50">
        <f t="shared" si="113"/>
        <v>0.24847156027939299</v>
      </c>
      <c r="Z155" s="84">
        <f t="shared" si="114"/>
        <v>19.968905534429222</v>
      </c>
      <c r="AA155" s="5"/>
      <c r="AB155" s="5"/>
    </row>
    <row r="156" spans="1:28" ht="13.5" customHeight="1">
      <c r="A156" s="75">
        <f t="shared" si="115"/>
        <v>0</v>
      </c>
      <c r="B156" s="5">
        <f t="shared" si="119"/>
        <v>7.500066639868189</v>
      </c>
      <c r="D156" s="64">
        <f t="shared" si="106"/>
        <v>14.998252021533485</v>
      </c>
      <c r="E156" s="54">
        <f t="shared" si="122"/>
        <v>5.0013925705730538</v>
      </c>
      <c r="F156" s="63">
        <f t="shared" si="112"/>
        <v>19.999644592106538</v>
      </c>
      <c r="G156" s="17">
        <f t="shared" ref="G156:K165" si="123">200*PI()*G$50*((G$24-$A156)*(ASINH(G$32/MAX(ABS(G$24-$A156),0.000001))-ASINH(G$28/MAX(ABS(G$24-$A156),0.000001)))-(G$22-$A156)*(ASINH(G$32/MAX(ABS(G$22-$A156),0.000001))-ASINH(G$28/MAX(ABS(G$22-$A156),0.000001))))</f>
        <v>12030.974944653904</v>
      </c>
      <c r="H156" s="17">
        <f t="shared" si="123"/>
        <v>10959.726517854848</v>
      </c>
      <c r="I156" s="17">
        <f t="shared" si="123"/>
        <v>9949.1136421652045</v>
      </c>
      <c r="J156" s="17">
        <f t="shared" si="123"/>
        <v>9002.2823211956438</v>
      </c>
      <c r="K156" s="17">
        <f t="shared" si="123"/>
        <v>8071.8282798609343</v>
      </c>
      <c r="L156" s="63">
        <f t="shared" si="109"/>
        <v>13.815400921237416</v>
      </c>
      <c r="M156" s="17">
        <f t="shared" ref="M156:X165" si="124">200*PI()*M$50*((M$24-$A156)*(ASINH(M$32/MAX(ABS(M$24-$A156),0.000001))-ASINH(M$28/MAX(ABS(M$24-$A156),0.000001)))-(M$22-$A156)*(ASINH(M$32/MAX(ABS(M$22-$A156),0.000001))-ASINH(M$28/MAX(ABS(M$22-$A156),0.000001))))</f>
        <v>11559.227413291874</v>
      </c>
      <c r="N156" s="17">
        <f t="shared" si="124"/>
        <v>122.34056513627286</v>
      </c>
      <c r="O156" s="17">
        <f t="shared" si="124"/>
        <v>16.378550328266762</v>
      </c>
      <c r="P156" s="17">
        <f t="shared" si="124"/>
        <v>25.265601353401372</v>
      </c>
      <c r="Q156" s="17">
        <f t="shared" si="124"/>
        <v>52.330213289823348</v>
      </c>
      <c r="R156" s="17">
        <f t="shared" si="124"/>
        <v>11.675713784778791</v>
      </c>
      <c r="S156" s="17">
        <f t="shared" si="124"/>
        <v>6.5893986015062849</v>
      </c>
      <c r="T156" s="17">
        <f t="shared" si="124"/>
        <v>19.43117564003931</v>
      </c>
      <c r="U156" s="17">
        <f t="shared" si="124"/>
        <v>2.3918326782195827</v>
      </c>
      <c r="V156" s="17">
        <f t="shared" si="124"/>
        <v>2.0482501296585705</v>
      </c>
      <c r="W156" s="17">
        <f t="shared" si="124"/>
        <v>7.0072088546415587</v>
      </c>
      <c r="X156" s="17">
        <f t="shared" si="124"/>
        <v>3.8250798722143138</v>
      </c>
      <c r="Y156" s="50">
        <f t="shared" si="113"/>
        <v>3.809377876251574E-5</v>
      </c>
      <c r="Z156" s="84">
        <f t="shared" si="114"/>
        <v>19.99903198927813</v>
      </c>
      <c r="AA156" s="5"/>
      <c r="AB156" s="5">
        <f t="shared" ref="AB156:AB187" si="125">100*MIN(0,D156-2-((500-A156)/200)^2)</f>
        <v>0</v>
      </c>
    </row>
    <row r="157" spans="1:28" ht="13.5" customHeight="1">
      <c r="A157" s="17">
        <f t="shared" si="115"/>
        <v>10</v>
      </c>
      <c r="B157" s="5">
        <f t="shared" si="119"/>
        <v>7.5046281118776061</v>
      </c>
      <c r="D157" s="64">
        <f t="shared" si="106"/>
        <v>14.985933998930062</v>
      </c>
      <c r="E157" s="54">
        <f t="shared" si="122"/>
        <v>4.9894055663197827</v>
      </c>
      <c r="F157" s="63">
        <f t="shared" si="112"/>
        <v>19.975339565249843</v>
      </c>
      <c r="G157" s="17">
        <f t="shared" si="123"/>
        <v>12017.34685641053</v>
      </c>
      <c r="H157" s="17">
        <f t="shared" si="123"/>
        <v>10940.435274131813</v>
      </c>
      <c r="I157" s="17">
        <f t="shared" si="123"/>
        <v>9924.3145267155342</v>
      </c>
      <c r="J157" s="17">
        <f t="shared" si="123"/>
        <v>8972.7919106288555</v>
      </c>
      <c r="K157" s="17">
        <f t="shared" si="123"/>
        <v>8039.1670953110915</v>
      </c>
      <c r="L157" s="63">
        <f t="shared" si="109"/>
        <v>13.682188964344963</v>
      </c>
      <c r="M157" s="17">
        <f t="shared" si="124"/>
        <v>12756.18241806661</v>
      </c>
      <c r="N157" s="17">
        <f t="shared" si="124"/>
        <v>129.22618999156526</v>
      </c>
      <c r="O157" s="17">
        <f t="shared" si="124"/>
        <v>17.136247990116335</v>
      </c>
      <c r="P157" s="17">
        <f t="shared" si="124"/>
        <v>26.363996837504086</v>
      </c>
      <c r="Q157" s="17">
        <f t="shared" si="124"/>
        <v>54.259863478690619</v>
      </c>
      <c r="R157" s="17">
        <f t="shared" si="124"/>
        <v>12.041814186738712</v>
      </c>
      <c r="S157" s="17">
        <f t="shared" si="124"/>
        <v>6.7809777016616604</v>
      </c>
      <c r="T157" s="17">
        <f t="shared" si="124"/>
        <v>19.915832111709371</v>
      </c>
      <c r="U157" s="17">
        <f t="shared" si="124"/>
        <v>2.4412994968671531</v>
      </c>
      <c r="V157" s="17">
        <f t="shared" si="124"/>
        <v>2.088460301566172</v>
      </c>
      <c r="W157" s="17">
        <f t="shared" si="124"/>
        <v>7.1300152552332561</v>
      </c>
      <c r="X157" s="17">
        <f t="shared" si="124"/>
        <v>3.8832304327164571</v>
      </c>
      <c r="Y157" s="50">
        <f>100*(D159-D156)/(A159-A156)</f>
        <v>-0.36767242411481621</v>
      </c>
      <c r="Z157" s="84">
        <f t="shared" si="114"/>
        <v>19.983918351830869</v>
      </c>
      <c r="AA157" s="5"/>
      <c r="AB157" s="5">
        <f t="shared" si="125"/>
        <v>0</v>
      </c>
    </row>
    <row r="158" spans="1:28" ht="13.5" customHeight="1">
      <c r="A158" s="17">
        <f t="shared" si="115"/>
        <v>20</v>
      </c>
      <c r="B158" s="5">
        <f t="shared" si="119"/>
        <v>7.5185891519530115</v>
      </c>
      <c r="D158" s="64">
        <f t="shared" si="106"/>
        <v>14.949167466886703</v>
      </c>
      <c r="E158" s="59">
        <f t="shared" ref="E158" si="126">0.0001*SUM(G158:K158)</f>
        <v>4.9520577686960854</v>
      </c>
      <c r="F158" s="63">
        <f t="shared" si="112"/>
        <v>19.901225235582789</v>
      </c>
      <c r="G158" s="17">
        <f t="shared" si="123"/>
        <v>11973.871009558583</v>
      </c>
      <c r="H158" s="17">
        <f t="shared" si="123"/>
        <v>10879.408669765939</v>
      </c>
      <c r="I158" s="17">
        <f t="shared" si="123"/>
        <v>9846.6493999082868</v>
      </c>
      <c r="J158" s="17">
        <f t="shared" si="123"/>
        <v>8881.460978227813</v>
      </c>
      <c r="K158" s="17">
        <f t="shared" si="123"/>
        <v>7939.1876295002303</v>
      </c>
      <c r="L158" s="63">
        <f t="shared" si="109"/>
        <v>13.511341588938002</v>
      </c>
      <c r="M158" s="17">
        <f t="shared" si="124"/>
        <v>14084.231898325224</v>
      </c>
      <c r="N158" s="17">
        <f t="shared" si="124"/>
        <v>136.63365341160008</v>
      </c>
      <c r="O158" s="17">
        <f t="shared" si="124"/>
        <v>17.940946356003078</v>
      </c>
      <c r="P158" s="17">
        <f t="shared" si="124"/>
        <v>27.526475389199085</v>
      </c>
      <c r="Q158" s="17">
        <f t="shared" si="124"/>
        <v>56.285482059938531</v>
      </c>
      <c r="R158" s="17">
        <f t="shared" si="124"/>
        <v>12.423308404273717</v>
      </c>
      <c r="S158" s="17">
        <f t="shared" si="124"/>
        <v>6.9800344979161277</v>
      </c>
      <c r="T158" s="17">
        <f t="shared" si="124"/>
        <v>20.416832776724519</v>
      </c>
      <c r="U158" s="17">
        <f t="shared" si="124"/>
        <v>2.4921378871036404</v>
      </c>
      <c r="V158" s="17">
        <f t="shared" si="124"/>
        <v>2.1297285577237703</v>
      </c>
      <c r="W158" s="17">
        <f t="shared" si="124"/>
        <v>7.2557169395283569</v>
      </c>
      <c r="X158" s="17">
        <f t="shared" si="124"/>
        <v>3.942564881774377</v>
      </c>
      <c r="Y158" s="59">
        <f>100*(D159-D157)/(A159-A157)</f>
        <v>-0.4899185231551062</v>
      </c>
      <c r="Z158" s="84">
        <f t="shared" si="114"/>
        <v>19.920307058575219</v>
      </c>
      <c r="AA158" s="5"/>
      <c r="AB158" s="5">
        <f t="shared" si="125"/>
        <v>0</v>
      </c>
    </row>
    <row r="159" spans="1:28" ht="13.5" customHeight="1">
      <c r="A159" s="17">
        <f t="shared" si="115"/>
        <v>30</v>
      </c>
      <c r="B159" s="5">
        <f t="shared" si="119"/>
        <v>7.5436579017229919</v>
      </c>
      <c r="D159" s="64">
        <f t="shared" si="106"/>
        <v>14.88795029429904</v>
      </c>
      <c r="E159" s="54">
        <f t="shared" si="122"/>
        <v>4.8812249775180065</v>
      </c>
      <c r="F159" s="63">
        <f t="shared" si="112"/>
        <v>19.769175271817048</v>
      </c>
      <c r="G159" s="17">
        <f t="shared" si="123"/>
        <v>11887.126769824277</v>
      </c>
      <c r="H159" s="17">
        <f t="shared" si="123"/>
        <v>10759.911791458328</v>
      </c>
      <c r="I159" s="17">
        <f t="shared" si="123"/>
        <v>9697.8813749057499</v>
      </c>
      <c r="J159" s="17">
        <f t="shared" si="123"/>
        <v>8710.644455902273</v>
      </c>
      <c r="K159" s="17">
        <f t="shared" si="123"/>
        <v>7756.6853830894352</v>
      </c>
      <c r="L159" s="63">
        <f t="shared" si="109"/>
        <v>13.301919659811475</v>
      </c>
      <c r="M159" s="17">
        <f t="shared" si="124"/>
        <v>15552.679584570389</v>
      </c>
      <c r="N159" s="17">
        <f t="shared" si="124"/>
        <v>144.61278919747633</v>
      </c>
      <c r="O159" s="17">
        <f t="shared" si="124"/>
        <v>18.796308469956987</v>
      </c>
      <c r="P159" s="17">
        <f t="shared" si="124"/>
        <v>28.757738985580747</v>
      </c>
      <c r="Q159" s="17">
        <f t="shared" si="124"/>
        <v>58.41310202298169</v>
      </c>
      <c r="R159" s="17">
        <f t="shared" si="124"/>
        <v>12.821010099450092</v>
      </c>
      <c r="S159" s="17">
        <f t="shared" si="124"/>
        <v>7.1869363319266713</v>
      </c>
      <c r="T159" s="17">
        <f t="shared" si="124"/>
        <v>20.934876195505229</v>
      </c>
      <c r="U159" s="17">
        <f t="shared" si="124"/>
        <v>2.5443956425306267</v>
      </c>
      <c r="V159" s="17">
        <f t="shared" si="124"/>
        <v>2.1720898824197703</v>
      </c>
      <c r="W159" s="17">
        <f t="shared" si="124"/>
        <v>7.384399996578348</v>
      </c>
      <c r="X159" s="17">
        <f t="shared" si="124"/>
        <v>4.0031134808672775</v>
      </c>
      <c r="Y159" s="50">
        <f>100*(D160-D157)/(A160-A157)</f>
        <v>-0.61280886489945752</v>
      </c>
      <c r="Z159" s="84">
        <f t="shared" si="114"/>
        <v>19.798058400776185</v>
      </c>
      <c r="AA159" s="5"/>
      <c r="AB159" s="5">
        <f t="shared" si="125"/>
        <v>0</v>
      </c>
    </row>
    <row r="160" spans="1:28" ht="13.5" customHeight="1">
      <c r="A160" s="17">
        <f t="shared" si="115"/>
        <v>40</v>
      </c>
      <c r="B160" s="5">
        <f t="shared" si="119"/>
        <v>7.5834869588852829</v>
      </c>
      <c r="D160" s="64">
        <f t="shared" si="106"/>
        <v>14.802091339460224</v>
      </c>
      <c r="E160" s="54">
        <f t="shared" si="122"/>
        <v>4.7599707913859017</v>
      </c>
      <c r="F160" s="63">
        <f t="shared" si="112"/>
        <v>19.562062130846126</v>
      </c>
      <c r="G160" s="17">
        <f t="shared" si="123"/>
        <v>11725.212669224135</v>
      </c>
      <c r="H160" s="17">
        <f t="shared" si="123"/>
        <v>10544.407058010182</v>
      </c>
      <c r="I160" s="17">
        <f t="shared" si="123"/>
        <v>9439.7863710641159</v>
      </c>
      <c r="J160" s="17">
        <f t="shared" si="123"/>
        <v>8426.0074602897112</v>
      </c>
      <c r="K160" s="17">
        <f t="shared" si="123"/>
        <v>7464.2943552708675</v>
      </c>
      <c r="L160" s="63">
        <f t="shared" si="109"/>
        <v>13.052996385874151</v>
      </c>
      <c r="M160" s="17">
        <f t="shared" si="124"/>
        <v>17168.80858007395</v>
      </c>
      <c r="N160" s="17">
        <f t="shared" si="124"/>
        <v>153.21917332064163</v>
      </c>
      <c r="O160" s="17">
        <f t="shared" si="124"/>
        <v>19.706341472449278</v>
      </c>
      <c r="P160" s="17">
        <f t="shared" si="124"/>
        <v>30.062905910735108</v>
      </c>
      <c r="Q160" s="17">
        <f t="shared" si="124"/>
        <v>60.649216381573005</v>
      </c>
      <c r="R160" s="17">
        <f t="shared" si="124"/>
        <v>13.2357848336174</v>
      </c>
      <c r="S160" s="17">
        <f t="shared" si="124"/>
        <v>7.4020723460344273</v>
      </c>
      <c r="T160" s="17">
        <f t="shared" si="124"/>
        <v>21.470697256454045</v>
      </c>
      <c r="U160" s="17">
        <f t="shared" si="124"/>
        <v>2.5981225773442884</v>
      </c>
      <c r="V160" s="17">
        <f t="shared" si="124"/>
        <v>2.2155806585182836</v>
      </c>
      <c r="W160" s="17">
        <f t="shared" si="124"/>
        <v>7.5161536094730286</v>
      </c>
      <c r="X160" s="17">
        <f t="shared" si="124"/>
        <v>4.0649074199463389</v>
      </c>
      <c r="Y160" s="50">
        <f t="shared" ref="Y160:Y191" si="127">100*(D161-D159)/(A161-A159)</f>
        <v>-0.98365528860197671</v>
      </c>
      <c r="Z160" s="84">
        <f t="shared" si="114"/>
        <v>19.595783719650747</v>
      </c>
      <c r="AA160" s="5"/>
      <c r="AB160" s="5">
        <f t="shared" si="125"/>
        <v>0</v>
      </c>
    </row>
    <row r="161" spans="1:28" ht="13.5" customHeight="1">
      <c r="A161" s="17">
        <f t="shared" si="115"/>
        <v>50</v>
      </c>
      <c r="B161" s="5">
        <f t="shared" si="119"/>
        <v>7.645326944007163</v>
      </c>
      <c r="D161" s="64">
        <f t="shared" si="106"/>
        <v>14.691219236578645</v>
      </c>
      <c r="E161" s="54">
        <f t="shared" si="122"/>
        <v>4.5556633919546936</v>
      </c>
      <c r="F161" s="63">
        <f t="shared" si="112"/>
        <v>19.246882628533339</v>
      </c>
      <c r="G161" s="17">
        <f t="shared" si="123"/>
        <v>11412.363197468601</v>
      </c>
      <c r="H161" s="17">
        <f t="shared" si="123"/>
        <v>10152.665694595791</v>
      </c>
      <c r="I161" s="17">
        <f t="shared" si="123"/>
        <v>8999.7899264859261</v>
      </c>
      <c r="J161" s="17">
        <f t="shared" si="123"/>
        <v>7970.0514442924232</v>
      </c>
      <c r="K161" s="17">
        <f t="shared" si="123"/>
        <v>7021.7636567041936</v>
      </c>
      <c r="L161" s="63">
        <f t="shared" si="109"/>
        <v>12.763798905513402</v>
      </c>
      <c r="M161" s="17">
        <f t="shared" si="124"/>
        <v>18936.552468661586</v>
      </c>
      <c r="N161" s="17">
        <f t="shared" si="124"/>
        <v>162.51489735184595</v>
      </c>
      <c r="O161" s="17">
        <f t="shared" si="124"/>
        <v>20.675434431191409</v>
      </c>
      <c r="P161" s="17">
        <f t="shared" si="124"/>
        <v>31.447553959625484</v>
      </c>
      <c r="Q161" s="17">
        <f t="shared" si="124"/>
        <v>63.000819505174427</v>
      </c>
      <c r="R161" s="17">
        <f t="shared" si="124"/>
        <v>13.668553936997338</v>
      </c>
      <c r="S161" s="17">
        <f t="shared" si="124"/>
        <v>7.6258550099352025</v>
      </c>
      <c r="T161" s="17">
        <f t="shared" si="124"/>
        <v>22.025069399842753</v>
      </c>
      <c r="U161" s="17">
        <f t="shared" si="124"/>
        <v>2.6533706081918229</v>
      </c>
      <c r="V161" s="17">
        <f t="shared" si="124"/>
        <v>2.2602387302095002</v>
      </c>
      <c r="W161" s="17">
        <f t="shared" si="124"/>
        <v>7.6510701932013214</v>
      </c>
      <c r="X161" s="17">
        <f t="shared" si="124"/>
        <v>4.1279788646255247</v>
      </c>
      <c r="Y161" s="50">
        <f t="shared" si="127"/>
        <v>-1.2365001847591461</v>
      </c>
      <c r="Z161" s="84">
        <f t="shared" si="114"/>
        <v>19.271868728618045</v>
      </c>
      <c r="AA161" s="5"/>
      <c r="AB161" s="5">
        <f t="shared" si="125"/>
        <v>0</v>
      </c>
    </row>
    <row r="162" spans="1:28" ht="13.5" customHeight="1">
      <c r="A162" s="17">
        <f t="shared" si="115"/>
        <v>60</v>
      </c>
      <c r="B162" s="5">
        <f t="shared" si="119"/>
        <v>7.7434617961723937</v>
      </c>
      <c r="D162" s="64">
        <f t="shared" si="106"/>
        <v>14.554791302508395</v>
      </c>
      <c r="E162" s="54">
        <f t="shared" si="122"/>
        <v>4.2073413591662456</v>
      </c>
      <c r="F162" s="63">
        <f t="shared" si="112"/>
        <v>18.762132661674642</v>
      </c>
      <c r="G162" s="17">
        <f t="shared" si="123"/>
        <v>10757.406233193158</v>
      </c>
      <c r="H162" s="17">
        <f t="shared" si="123"/>
        <v>9416.9239882532274</v>
      </c>
      <c r="I162" s="17">
        <f t="shared" si="123"/>
        <v>8253.3493853230739</v>
      </c>
      <c r="J162" s="17">
        <f t="shared" si="123"/>
        <v>7262.195790814184</v>
      </c>
      <c r="K162" s="17">
        <f t="shared" si="123"/>
        <v>6383.5381940788138</v>
      </c>
      <c r="L162" s="63">
        <f t="shared" si="109"/>
        <v>12.433885701651858</v>
      </c>
      <c r="M162" s="17">
        <f t="shared" si="124"/>
        <v>20854.809194152018</v>
      </c>
      <c r="N162" s="17">
        <f t="shared" si="124"/>
        <v>172.56946057426566</v>
      </c>
      <c r="O162" s="17">
        <f t="shared" si="124"/>
        <v>21.708400956858867</v>
      </c>
      <c r="P162" s="17">
        <f t="shared" si="124"/>
        <v>32.917768802812489</v>
      </c>
      <c r="Q162" s="17">
        <f t="shared" si="124"/>
        <v>65.475452751912272</v>
      </c>
      <c r="R162" s="17">
        <f t="shared" si="124"/>
        <v>14.120298733964935</v>
      </c>
      <c r="S162" s="17">
        <f t="shared" si="124"/>
        <v>7.8587217542041357</v>
      </c>
      <c r="T162" s="17">
        <f t="shared" si="124"/>
        <v>22.598807008535356</v>
      </c>
      <c r="U162" s="17">
        <f t="shared" si="124"/>
        <v>2.7101938642992907</v>
      </c>
      <c r="V162" s="17">
        <f t="shared" si="124"/>
        <v>2.3061034731019219</v>
      </c>
      <c r="W162" s="17">
        <f t="shared" si="124"/>
        <v>7.7892455256967095</v>
      </c>
      <c r="X162" s="17">
        <f t="shared" si="124"/>
        <v>4.1923609676873355</v>
      </c>
      <c r="Y162" s="50">
        <f t="shared" si="127"/>
        <v>-1.4955817536188043</v>
      </c>
      <c r="Z162" s="84">
        <f t="shared" si="114"/>
        <v>18.752390313528888</v>
      </c>
      <c r="AA162" s="5"/>
      <c r="AB162" s="5">
        <f t="shared" si="125"/>
        <v>0</v>
      </c>
    </row>
    <row r="163" spans="1:28" ht="13.5" customHeight="1">
      <c r="A163" s="17">
        <f t="shared" si="115"/>
        <v>70</v>
      </c>
      <c r="B163" s="5">
        <f t="shared" si="119"/>
        <v>7.9041827718502038</v>
      </c>
      <c r="D163" s="64">
        <f t="shared" si="106"/>
        <v>14.392102885854884</v>
      </c>
      <c r="E163" s="54">
        <f t="shared" si="122"/>
        <v>3.6147814223674986</v>
      </c>
      <c r="F163" s="63">
        <f t="shared" si="112"/>
        <v>18.006884308222382</v>
      </c>
      <c r="G163" s="17">
        <f t="shared" si="123"/>
        <v>9293.6018679765511</v>
      </c>
      <c r="H163" s="17">
        <f t="shared" si="123"/>
        <v>8045.369324650479</v>
      </c>
      <c r="I163" s="17">
        <f t="shared" si="123"/>
        <v>7046.4797979621735</v>
      </c>
      <c r="J163" s="17">
        <f t="shared" si="123"/>
        <v>6234.4386464073714</v>
      </c>
      <c r="K163" s="17">
        <f t="shared" si="123"/>
        <v>5527.9245866784049</v>
      </c>
      <c r="L163" s="63">
        <f t="shared" si="109"/>
        <v>12.063357279920069</v>
      </c>
      <c r="M163" s="17">
        <f t="shared" si="124"/>
        <v>22915.426576634149</v>
      </c>
      <c r="N163" s="17">
        <f t="shared" si="124"/>
        <v>183.46080105578991</v>
      </c>
      <c r="O163" s="17">
        <f t="shared" si="124"/>
        <v>22.810527247961549</v>
      </c>
      <c r="P163" s="17">
        <f t="shared" si="124"/>
        <v>34.480198172296632</v>
      </c>
      <c r="Q163" s="17">
        <f t="shared" si="124"/>
        <v>68.081254884827771</v>
      </c>
      <c r="R163" s="17">
        <f t="shared" si="124"/>
        <v>14.592065117024838</v>
      </c>
      <c r="S163" s="17">
        <f t="shared" si="124"/>
        <v>8.1011367529835336</v>
      </c>
      <c r="T163" s="17">
        <f t="shared" si="124"/>
        <v>23.192767977093261</v>
      </c>
      <c r="U163" s="17">
        <f t="shared" si="124"/>
        <v>2.7686488077172391</v>
      </c>
      <c r="V163" s="17">
        <f t="shared" si="124"/>
        <v>2.3532158595907227</v>
      </c>
      <c r="W163" s="17">
        <f t="shared" si="124"/>
        <v>7.9307789044858259</v>
      </c>
      <c r="X163" s="17">
        <f t="shared" si="124"/>
        <v>4.2580879342357969</v>
      </c>
      <c r="Y163" s="50">
        <f t="shared" si="127"/>
        <v>-1.7624633075323182</v>
      </c>
      <c r="Z163" s="84">
        <f t="shared" si="114"/>
        <v>17.944037199027701</v>
      </c>
      <c r="AA163" s="5"/>
      <c r="AB163" s="5">
        <f t="shared" si="125"/>
        <v>0</v>
      </c>
    </row>
    <row r="164" spans="1:28" ht="13.5" customHeight="1">
      <c r="A164" s="17">
        <f t="shared" si="115"/>
        <v>80</v>
      </c>
      <c r="B164" s="5">
        <f t="shared" si="119"/>
        <v>8.1542782816908748</v>
      </c>
      <c r="D164" s="64">
        <f t="shared" si="106"/>
        <v>14.202298641001931</v>
      </c>
      <c r="E164" s="54">
        <f t="shared" si="122"/>
        <v>2.7169652931774424</v>
      </c>
      <c r="F164" s="63">
        <f t="shared" si="112"/>
        <v>16.919263934179373</v>
      </c>
      <c r="G164" s="17">
        <f t="shared" si="123"/>
        <v>6458.2819304900295</v>
      </c>
      <c r="H164" s="17">
        <f t="shared" si="123"/>
        <v>5884.844582181554</v>
      </c>
      <c r="I164" s="17">
        <f t="shared" si="123"/>
        <v>5382.4870579094677</v>
      </c>
      <c r="J164" s="17">
        <f t="shared" si="123"/>
        <v>4935.9122688202724</v>
      </c>
      <c r="K164" s="17">
        <f t="shared" si="123"/>
        <v>4508.1270923730954</v>
      </c>
      <c r="L164" s="63">
        <f t="shared" si="109"/>
        <v>11.653089824568919</v>
      </c>
      <c r="M164" s="17">
        <f t="shared" si="124"/>
        <v>25100.977118669412</v>
      </c>
      <c r="N164" s="17">
        <f t="shared" si="124"/>
        <v>195.27648971115167</v>
      </c>
      <c r="O164" s="17">
        <f t="shared" si="124"/>
        <v>23.987626365228802</v>
      </c>
      <c r="P164" s="17">
        <f t="shared" si="124"/>
        <v>36.142112696643757</v>
      </c>
      <c r="Q164" s="17">
        <f t="shared" si="124"/>
        <v>70.827017849424379</v>
      </c>
      <c r="R164" s="17">
        <f t="shared" si="124"/>
        <v>15.084968534898898</v>
      </c>
      <c r="S164" s="17">
        <f t="shared" si="124"/>
        <v>8.3535928367852268</v>
      </c>
      <c r="T164" s="17">
        <f t="shared" si="124"/>
        <v>23.807856462347292</v>
      </c>
      <c r="U164" s="17">
        <f t="shared" si="124"/>
        <v>2.8287943350298184</v>
      </c>
      <c r="V164" s="17">
        <f t="shared" si="124"/>
        <v>2.401618546519702</v>
      </c>
      <c r="W164" s="17">
        <f t="shared" si="124"/>
        <v>8.0757732870858963</v>
      </c>
      <c r="X164" s="17">
        <f t="shared" si="124"/>
        <v>4.3251950355952511</v>
      </c>
      <c r="Y164" s="50">
        <f t="shared" si="127"/>
        <v>-2.0385697059986629</v>
      </c>
      <c r="Z164" s="84">
        <f t="shared" si="114"/>
        <v>16.85723959684405</v>
      </c>
      <c r="AA164" s="5"/>
      <c r="AB164" s="5">
        <f t="shared" si="125"/>
        <v>0</v>
      </c>
    </row>
    <row r="165" spans="1:28" ht="13.5" customHeight="1">
      <c r="A165" s="17">
        <f t="shared" si="115"/>
        <v>90</v>
      </c>
      <c r="B165" s="5">
        <f t="shared" si="119"/>
        <v>8.4486721069659456</v>
      </c>
      <c r="D165" s="64">
        <f t="shared" si="106"/>
        <v>13.984388944655151</v>
      </c>
      <c r="E165" s="54">
        <f t="shared" si="122"/>
        <v>1.7763150131783689</v>
      </c>
      <c r="F165" s="63">
        <f t="shared" si="112"/>
        <v>15.76070395783352</v>
      </c>
      <c r="G165" s="17">
        <f t="shared" si="123"/>
        <v>3407.0846086966917</v>
      </c>
      <c r="H165" s="17">
        <f t="shared" si="123"/>
        <v>3618.8039327138326</v>
      </c>
      <c r="I165" s="17">
        <f t="shared" si="123"/>
        <v>3662.9378808895021</v>
      </c>
      <c r="J165" s="17">
        <f t="shared" si="123"/>
        <v>3605.6737736043933</v>
      </c>
      <c r="K165" s="17">
        <f t="shared" si="123"/>
        <v>3468.6499358792662</v>
      </c>
      <c r="L165" s="63">
        <f t="shared" si="109"/>
        <v>11.204970649628512</v>
      </c>
      <c r="M165" s="17">
        <f t="shared" si="124"/>
        <v>27382.566071134632</v>
      </c>
      <c r="N165" s="17">
        <f t="shared" si="124"/>
        <v>208.11511588370141</v>
      </c>
      <c r="O165" s="17">
        <f t="shared" si="124"/>
        <v>25.246099638422731</v>
      </c>
      <c r="P165" s="17">
        <f t="shared" si="124"/>
        <v>37.911474265868875</v>
      </c>
      <c r="Q165" s="17">
        <f t="shared" si="124"/>
        <v>73.722248563171135</v>
      </c>
      <c r="R165" s="17">
        <f t="shared" si="124"/>
        <v>15.60019941061489</v>
      </c>
      <c r="S165" s="17">
        <f t="shared" si="124"/>
        <v>8.6166135762040721</v>
      </c>
      <c r="T165" s="17">
        <f t="shared" si="124"/>
        <v>24.445025825244453</v>
      </c>
      <c r="U165" s="17">
        <f t="shared" si="124"/>
        <v>2.890691908278165</v>
      </c>
      <c r="V165" s="17">
        <f t="shared" si="124"/>
        <v>2.4513559481308085</v>
      </c>
      <c r="W165" s="17">
        <f t="shared" si="124"/>
        <v>8.2243354543921487</v>
      </c>
      <c r="X165" s="17">
        <f t="shared" si="124"/>
        <v>4.3937186577311937</v>
      </c>
      <c r="Y165" s="50">
        <f t="shared" si="127"/>
        <v>-2.3251085266775995</v>
      </c>
      <c r="Z165" s="84">
        <f t="shared" si="114"/>
        <v>15.746211305386886</v>
      </c>
      <c r="AA165" s="5"/>
      <c r="AB165" s="5">
        <f t="shared" si="125"/>
        <v>0</v>
      </c>
    </row>
    <row r="166" spans="1:28" ht="13.5" customHeight="1">
      <c r="A166" s="17">
        <f t="shared" si="115"/>
        <v>100</v>
      </c>
      <c r="B166" s="5">
        <f t="shared" si="119"/>
        <v>8.7015524831797837</v>
      </c>
      <c r="D166" s="64">
        <f t="shared" si="106"/>
        <v>13.737276935666412</v>
      </c>
      <c r="E166" s="54">
        <f t="shared" si="122"/>
        <v>1.1206779219667589</v>
      </c>
      <c r="F166" s="63">
        <f t="shared" si="112"/>
        <v>14.857954857633171</v>
      </c>
      <c r="G166" s="17">
        <f t="shared" ref="G166:K175" si="128">200*PI()*G$50*((G$24-$A166)*(ASINH(G$32/MAX(ABS(G$24-$A166),0.000001))-ASINH(G$28/MAX(ABS(G$24-$A166),0.000001)))-(G$22-$A166)*(ASINH(G$32/MAX(ABS(G$22-$A166),0.000001))-ASINH(G$28/MAX(ABS(G$22-$A166),0.000001))))</f>
        <v>1698.9083368702074</v>
      </c>
      <c r="H166" s="17">
        <f t="shared" si="128"/>
        <v>2084.302610243607</v>
      </c>
      <c r="I166" s="17">
        <f t="shared" si="128"/>
        <v>2350.4039224307562</v>
      </c>
      <c r="J166" s="17">
        <f t="shared" si="128"/>
        <v>2508.1865790052998</v>
      </c>
      <c r="K166" s="17">
        <f t="shared" si="128"/>
        <v>2564.977771117718</v>
      </c>
      <c r="L166" s="63">
        <f t="shared" si="109"/>
        <v>10.722101607175532</v>
      </c>
      <c r="M166" s="17">
        <f t="shared" ref="M166:X175" si="129">200*PI()*M$50*((M$24-$A166)*(ASINH(M$32/MAX(ABS(M$24-$A166),0.000001))-ASINH(M$28/MAX(ABS(M$24-$A166),0.000001)))-(M$22-$A166)*(ASINH(M$32/MAX(ABS(M$22-$A166),0.000001))-ASINH(M$28/MAX(ABS(M$22-$A166),0.000001))))</f>
        <v>29718.065910917492</v>
      </c>
      <c r="N166" s="17">
        <f t="shared" si="129"/>
        <v>222.08789833951388</v>
      </c>
      <c r="O166" s="17">
        <f t="shared" si="129"/>
        <v>26.593006252525957</v>
      </c>
      <c r="P166" s="17">
        <f t="shared" si="129"/>
        <v>39.797013011162555</v>
      </c>
      <c r="Q166" s="17">
        <f t="shared" si="129"/>
        <v>76.777237442631289</v>
      </c>
      <c r="R166" s="17">
        <f t="shared" si="129"/>
        <v>16.139029062273035</v>
      </c>
      <c r="S166" s="17">
        <f t="shared" si="129"/>
        <v>8.8907555339820163</v>
      </c>
      <c r="T166" s="17">
        <f t="shared" si="129"/>
        <v>25.105281808092347</v>
      </c>
      <c r="U166" s="17">
        <f t="shared" si="129"/>
        <v>2.9544056906172247</v>
      </c>
      <c r="V166" s="17">
        <f t="shared" si="129"/>
        <v>2.5024743238696736</v>
      </c>
      <c r="W166" s="17">
        <f t="shared" si="129"/>
        <v>8.376576174819018</v>
      </c>
      <c r="X166" s="17">
        <f t="shared" si="129"/>
        <v>4.463696351815269</v>
      </c>
      <c r="Y166" s="50">
        <f t="shared" si="127"/>
        <v>-2.6229243318805029</v>
      </c>
      <c r="Z166" s="84">
        <f t="shared" si="114"/>
        <v>14.857216190024589</v>
      </c>
      <c r="AA166" s="5"/>
      <c r="AB166" s="5">
        <f t="shared" si="125"/>
        <v>0</v>
      </c>
    </row>
    <row r="167" spans="1:28" ht="13.5" customHeight="1">
      <c r="A167" s="17">
        <f t="shared" si="115"/>
        <v>110</v>
      </c>
      <c r="B167" s="5">
        <f t="shared" si="119"/>
        <v>8.9044650303604787</v>
      </c>
      <c r="D167" s="64">
        <f t="shared" si="106"/>
        <v>13.459804078279051</v>
      </c>
      <c r="E167" s="54">
        <f t="shared" si="122"/>
        <v>0.72870809292716809</v>
      </c>
      <c r="F167" s="63">
        <f t="shared" si="112"/>
        <v>14.188512171206218</v>
      </c>
      <c r="G167" s="17">
        <f t="shared" si="128"/>
        <v>929.84393718353567</v>
      </c>
      <c r="H167" s="17">
        <f t="shared" si="128"/>
        <v>1243.4567855544649</v>
      </c>
      <c r="I167" s="17">
        <f t="shared" si="128"/>
        <v>1515.7577092207957</v>
      </c>
      <c r="J167" s="17">
        <f t="shared" si="128"/>
        <v>1728.9730644633562</v>
      </c>
      <c r="K167" s="17">
        <f t="shared" si="128"/>
        <v>1869.0494328495283</v>
      </c>
      <c r="L167" s="63">
        <f t="shared" si="109"/>
        <v>10.208925833967918</v>
      </c>
      <c r="M167" s="17">
        <f t="shared" si="129"/>
        <v>32051.302375683183</v>
      </c>
      <c r="N167" s="17">
        <f t="shared" si="129"/>
        <v>237.32056199932083</v>
      </c>
      <c r="O167" s="17">
        <f t="shared" si="129"/>
        <v>28.036142246225527</v>
      </c>
      <c r="P167" s="17">
        <f t="shared" si="129"/>
        <v>41.808314101593524</v>
      </c>
      <c r="Q167" s="17">
        <f t="shared" si="129"/>
        <v>80.003134510282152</v>
      </c>
      <c r="R167" s="17">
        <f t="shared" si="129"/>
        <v>16.702816137670684</v>
      </c>
      <c r="S167" s="17">
        <f t="shared" si="129"/>
        <v>9.1766107072616609</v>
      </c>
      <c r="T167" s="17">
        <f t="shared" si="129"/>
        <v>25.78968593961411</v>
      </c>
      <c r="U167" s="17">
        <f t="shared" si="129"/>
        <v>3.0200026781867804</v>
      </c>
      <c r="V167" s="17">
        <f t="shared" si="129"/>
        <v>2.5550218648558296</v>
      </c>
      <c r="W167" s="17">
        <f t="shared" si="129"/>
        <v>8.5326103860314344</v>
      </c>
      <c r="X167" s="17">
        <f t="shared" si="129"/>
        <v>4.5351668571075514</v>
      </c>
      <c r="Y167" s="50">
        <f t="shared" si="127"/>
        <v>-2.9322650463428968</v>
      </c>
      <c r="Z167" s="84">
        <f t="shared" si="114"/>
        <v>14.19229711157066</v>
      </c>
      <c r="AA167" s="5"/>
      <c r="AB167" s="5">
        <f t="shared" si="125"/>
        <v>0</v>
      </c>
    </row>
    <row r="168" spans="1:28" ht="13.5" customHeight="1">
      <c r="A168" s="17">
        <f t="shared" si="115"/>
        <v>120</v>
      </c>
      <c r="B168" s="5">
        <f t="shared" si="119"/>
        <v>9.0798477720538013</v>
      </c>
      <c r="D168" s="64">
        <f t="shared" ref="D168:D199" si="130">L168+0.0001*SUM(M168:X168)</f>
        <v>13.150823926397832</v>
      </c>
      <c r="E168" s="54">
        <f t="shared" si="122"/>
        <v>0.49486251511255164</v>
      </c>
      <c r="F168" s="63">
        <f t="shared" si="112"/>
        <v>13.645686441510383</v>
      </c>
      <c r="G168" s="17">
        <f t="shared" si="128"/>
        <v>563.98352178298137</v>
      </c>
      <c r="H168" s="17">
        <f t="shared" si="128"/>
        <v>791.05424788759638</v>
      </c>
      <c r="I168" s="17">
        <f t="shared" si="128"/>
        <v>1013.0830987686719</v>
      </c>
      <c r="J168" s="17">
        <f t="shared" si="128"/>
        <v>1211.8912105453467</v>
      </c>
      <c r="K168" s="17">
        <f t="shared" si="128"/>
        <v>1368.6130721409202</v>
      </c>
      <c r="L168" s="63">
        <f t="shared" ref="L168:L199" si="131">0.02*PI()*L$50*((L$24-$A168)*(ASINH(L$32/MAX(ABS(L$24-$A168),0.000001))-ASINH(L$28/MAX(ABS(L$24-$A168),0.000001)))-(L$22-$A168)*(ASINH(L$32/MAX(ABS(L$22-$A168),0.000001))-ASINH(L$28/MAX(ABS(L$22-$A168),0.000001))))</f>
        <v>9.6712301495265738</v>
      </c>
      <c r="M168" s="17">
        <f t="shared" si="129"/>
        <v>34312.765648973495</v>
      </c>
      <c r="N168" s="17">
        <f t="shared" si="129"/>
        <v>253.9555283800502</v>
      </c>
      <c r="O168" s="17">
        <f t="shared" si="129"/>
        <v>29.584130349345237</v>
      </c>
      <c r="P168" s="17">
        <f t="shared" si="129"/>
        <v>43.955915766854382</v>
      </c>
      <c r="Q168" s="17">
        <f t="shared" si="129"/>
        <v>83.412034025926332</v>
      </c>
      <c r="R168" s="17">
        <f t="shared" si="129"/>
        <v>17.293013657808046</v>
      </c>
      <c r="S168" s="17">
        <f t="shared" si="129"/>
        <v>9.4748091729565278</v>
      </c>
      <c r="T168" s="17">
        <f t="shared" si="129"/>
        <v>26.499359191443965</v>
      </c>
      <c r="U168" s="17">
        <f t="shared" si="129"/>
        <v>3.0875528501600376</v>
      </c>
      <c r="V168" s="17">
        <f t="shared" si="129"/>
        <v>2.6090487959938535</v>
      </c>
      <c r="W168" s="17">
        <f t="shared" si="129"/>
        <v>8.6925573786096706</v>
      </c>
      <c r="X168" s="17">
        <f t="shared" si="129"/>
        <v>4.6081701699431834</v>
      </c>
      <c r="Y168" s="50">
        <f t="shared" si="127"/>
        <v>-3.2524516280918192</v>
      </c>
      <c r="Z168" s="84">
        <f t="shared" si="114"/>
        <v>13.657054461530223</v>
      </c>
      <c r="AA168" s="5"/>
      <c r="AB168" s="5">
        <f t="shared" si="125"/>
        <v>0</v>
      </c>
    </row>
    <row r="169" spans="1:28" ht="13.5" customHeight="1">
      <c r="A169" s="17">
        <f t="shared" si="115"/>
        <v>130</v>
      </c>
      <c r="B169" s="5">
        <f t="shared" si="119"/>
        <v>9.2460470836796773</v>
      </c>
      <c r="D169" s="64">
        <f t="shared" si="130"/>
        <v>12.809313752660687</v>
      </c>
      <c r="E169" s="54">
        <f t="shared" si="122"/>
        <v>0.35021450895835526</v>
      </c>
      <c r="F169" s="63">
        <f t="shared" si="112"/>
        <v>13.159528261619043</v>
      </c>
      <c r="G169" s="17">
        <f t="shared" si="128"/>
        <v>370.79053666531797</v>
      </c>
      <c r="H169" s="17">
        <f t="shared" si="128"/>
        <v>534.57474556365389</v>
      </c>
      <c r="I169" s="17">
        <f t="shared" si="128"/>
        <v>706.16887809169464</v>
      </c>
      <c r="J169" s="17">
        <f t="shared" si="128"/>
        <v>872.67514602138749</v>
      </c>
      <c r="K169" s="17">
        <f t="shared" si="128"/>
        <v>1017.9357832414979</v>
      </c>
      <c r="L169" s="63">
        <f t="shared" si="131"/>
        <v>9.115986321277294</v>
      </c>
      <c r="M169" s="17">
        <f t="shared" si="129"/>
        <v>36422.311115814562</v>
      </c>
      <c r="N169" s="17">
        <f t="shared" si="129"/>
        <v>272.15447683637694</v>
      </c>
      <c r="O169" s="17">
        <f t="shared" si="129"/>
        <v>31.246522319495671</v>
      </c>
      <c r="P169" s="17">
        <f t="shared" si="129"/>
        <v>46.251420199390964</v>
      </c>
      <c r="Q169" s="17">
        <f t="shared" si="129"/>
        <v>87.017068728555699</v>
      </c>
      <c r="R169" s="17">
        <f t="shared" si="129"/>
        <v>17.911176698809978</v>
      </c>
      <c r="S169" s="17">
        <f t="shared" si="129"/>
        <v>9.7860219745075678</v>
      </c>
      <c r="T169" s="17">
        <f t="shared" si="129"/>
        <v>27.2354859255151</v>
      </c>
      <c r="U169" s="17">
        <f t="shared" si="129"/>
        <v>3.1571293238941736</v>
      </c>
      <c r="V169" s="17">
        <f t="shared" si="129"/>
        <v>2.664607468579347</v>
      </c>
      <c r="W169" s="17">
        <f t="shared" si="129"/>
        <v>8.8565409795311325</v>
      </c>
      <c r="X169" s="17">
        <f t="shared" si="129"/>
        <v>4.6827475647050107</v>
      </c>
      <c r="Y169" s="50">
        <f t="shared" si="127"/>
        <v>-3.5814659728430969</v>
      </c>
      <c r="Z169" s="84">
        <f t="shared" si="114"/>
        <v>13.178313901600241</v>
      </c>
      <c r="AA169" s="5"/>
      <c r="AB169" s="5">
        <f t="shared" si="125"/>
        <v>0</v>
      </c>
    </row>
    <row r="170" spans="1:28" ht="13.5" customHeight="1">
      <c r="A170" s="17">
        <f t="shared" si="115"/>
        <v>140</v>
      </c>
      <c r="B170" s="5">
        <f t="shared" si="119"/>
        <v>9.4150138047722756</v>
      </c>
      <c r="D170" s="64">
        <f t="shared" si="130"/>
        <v>12.434530731829213</v>
      </c>
      <c r="E170" s="54">
        <f t="shared" si="122"/>
        <v>0.2569004787246616</v>
      </c>
      <c r="F170" s="63">
        <f t="shared" si="112"/>
        <v>12.691431210553874</v>
      </c>
      <c r="G170" s="17">
        <f t="shared" si="128"/>
        <v>258.92971189927641</v>
      </c>
      <c r="H170" s="17">
        <f t="shared" si="128"/>
        <v>379.6474809721372</v>
      </c>
      <c r="I170" s="17">
        <f t="shared" si="128"/>
        <v>511.67071905571504</v>
      </c>
      <c r="J170" s="17">
        <f t="shared" si="128"/>
        <v>646.58208661722574</v>
      </c>
      <c r="K170" s="17">
        <f t="shared" si="128"/>
        <v>772.17478870226137</v>
      </c>
      <c r="L170" s="63">
        <f t="shared" si="131"/>
        <v>8.5510221177558794</v>
      </c>
      <c r="M170" s="17">
        <f t="shared" si="129"/>
        <v>38294.007300756035</v>
      </c>
      <c r="N170" s="17">
        <f t="shared" si="129"/>
        <v>292.10134451479462</v>
      </c>
      <c r="O170" s="17">
        <f t="shared" si="129"/>
        <v>33.033915731668323</v>
      </c>
      <c r="P170" s="17">
        <f t="shared" si="129"/>
        <v>48.707619207676416</v>
      </c>
      <c r="Q170" s="17">
        <f t="shared" si="129"/>
        <v>90.832514923904029</v>
      </c>
      <c r="R170" s="17">
        <f t="shared" si="129"/>
        <v>18.558970797652297</v>
      </c>
      <c r="S170" s="17">
        <f t="shared" si="129"/>
        <v>10.110964242459129</v>
      </c>
      <c r="T170" s="17">
        <f t="shared" si="129"/>
        <v>27.999318132740715</v>
      </c>
      <c r="U170" s="17">
        <f t="shared" si="129"/>
        <v>3.2288085227927343</v>
      </c>
      <c r="V170" s="17">
        <f t="shared" si="129"/>
        <v>2.7217524691584645</v>
      </c>
      <c r="W170" s="17">
        <f t="shared" si="129"/>
        <v>9.0246897704912588</v>
      </c>
      <c r="X170" s="17">
        <f t="shared" si="129"/>
        <v>4.7589416639588862</v>
      </c>
      <c r="Y170" s="50">
        <f t="shared" si="127"/>
        <v>-3.9155050908943694</v>
      </c>
      <c r="Z170" s="84">
        <f t="shared" si="114"/>
        <v>12.714793624689053</v>
      </c>
      <c r="AA170" s="5"/>
      <c r="AB170" s="5">
        <f t="shared" si="125"/>
        <v>0</v>
      </c>
    </row>
    <row r="171" spans="1:28" ht="13.5" customHeight="1">
      <c r="A171" s="17">
        <f t="shared" si="115"/>
        <v>150</v>
      </c>
      <c r="B171" s="5">
        <f t="shared" si="119"/>
        <v>9.5947182390179755</v>
      </c>
      <c r="D171" s="64">
        <f t="shared" si="130"/>
        <v>12.026212734481813</v>
      </c>
      <c r="E171" s="54">
        <f t="shared" si="122"/>
        <v>0.19426182171103712</v>
      </c>
      <c r="F171" s="63">
        <f t="shared" si="112"/>
        <v>12.220474556192851</v>
      </c>
      <c r="G171" s="17">
        <f t="shared" si="128"/>
        <v>189.25400249858151</v>
      </c>
      <c r="H171" s="17">
        <f t="shared" si="128"/>
        <v>280.54231974000299</v>
      </c>
      <c r="I171" s="17">
        <f t="shared" si="128"/>
        <v>383.239005537835</v>
      </c>
      <c r="J171" s="17">
        <f t="shared" si="128"/>
        <v>491.91518501204905</v>
      </c>
      <c r="K171" s="17">
        <f t="shared" si="128"/>
        <v>597.66770432190231</v>
      </c>
      <c r="L171" s="63">
        <f t="shared" si="131"/>
        <v>7.9845527941401153</v>
      </c>
      <c r="M171" s="17">
        <f t="shared" si="129"/>
        <v>39842.825018870033</v>
      </c>
      <c r="N171" s="17">
        <f t="shared" si="129"/>
        <v>314.00584570562063</v>
      </c>
      <c r="O171" s="17">
        <f t="shared" si="129"/>
        <v>34.958087514930028</v>
      </c>
      <c r="P171" s="17">
        <f t="shared" si="129"/>
        <v>51.338636864504821</v>
      </c>
      <c r="Q171" s="17">
        <f t="shared" si="129"/>
        <v>94.873909834115068</v>
      </c>
      <c r="R171" s="17">
        <f t="shared" si="129"/>
        <v>19.23818115434073</v>
      </c>
      <c r="S171" s="17">
        <f t="shared" si="129"/>
        <v>10.450398603559329</v>
      </c>
      <c r="T171" s="17">
        <f t="shared" si="129"/>
        <v>28.792180007539507</v>
      </c>
      <c r="U171" s="17">
        <f t="shared" si="129"/>
        <v>3.3026703450343127</v>
      </c>
      <c r="V171" s="17">
        <f t="shared" si="129"/>
        <v>2.7805407384860796</v>
      </c>
      <c r="W171" s="17">
        <f t="shared" si="129"/>
        <v>9.197137293524559</v>
      </c>
      <c r="X171" s="17">
        <f t="shared" si="129"/>
        <v>4.8367964852807317</v>
      </c>
      <c r="Y171" s="50">
        <f t="shared" si="127"/>
        <v>-4.248585485474905</v>
      </c>
      <c r="Z171" s="84">
        <f t="shared" si="114"/>
        <v>12.244949125587983</v>
      </c>
      <c r="AA171" s="5"/>
      <c r="AB171" s="5">
        <f t="shared" si="125"/>
        <v>0</v>
      </c>
    </row>
    <row r="172" spans="1:28" ht="13.5" customHeight="1">
      <c r="A172" s="17">
        <f t="shared" si="115"/>
        <v>160</v>
      </c>
      <c r="B172" s="5">
        <f t="shared" si="119"/>
        <v>9.7909587757146372</v>
      </c>
      <c r="D172" s="64">
        <f t="shared" si="130"/>
        <v>11.584813634734232</v>
      </c>
      <c r="E172" s="54">
        <f t="shared" si="122"/>
        <v>0.15069935395792655</v>
      </c>
      <c r="F172" s="63">
        <f t="shared" si="112"/>
        <v>11.735512988692159</v>
      </c>
      <c r="G172" s="17">
        <f t="shared" si="128"/>
        <v>143.29939804741437</v>
      </c>
      <c r="H172" s="17">
        <f t="shared" si="128"/>
        <v>214.01466287343226</v>
      </c>
      <c r="I172" s="17">
        <f t="shared" si="128"/>
        <v>295.12955956931427</v>
      </c>
      <c r="J172" s="17">
        <f t="shared" si="128"/>
        <v>383.10196414726954</v>
      </c>
      <c r="K172" s="17">
        <f t="shared" si="128"/>
        <v>471.44795494183523</v>
      </c>
      <c r="L172" s="63">
        <f t="shared" si="131"/>
        <v>7.4246421852902582</v>
      </c>
      <c r="M172" s="17">
        <f t="shared" si="129"/>
        <v>40992.374922474555</v>
      </c>
      <c r="N172" s="17">
        <f t="shared" si="129"/>
        <v>338.10760627955028</v>
      </c>
      <c r="O172" s="17">
        <f t="shared" si="129"/>
        <v>37.032146899028334</v>
      </c>
      <c r="P172" s="17">
        <f t="shared" si="129"/>
        <v>54.160091687711756</v>
      </c>
      <c r="Q172" s="17">
        <f t="shared" si="129"/>
        <v>99.158182834935914</v>
      </c>
      <c r="R172" s="17">
        <f t="shared" si="129"/>
        <v>19.950722709383601</v>
      </c>
      <c r="S172" s="17">
        <f t="shared" si="129"/>
        <v>10.805138887535831</v>
      </c>
      <c r="T172" s="17">
        <f t="shared" si="129"/>
        <v>29.61547288031014</v>
      </c>
      <c r="U172" s="17">
        <f t="shared" si="129"/>
        <v>3.3787983599839455</v>
      </c>
      <c r="V172" s="17">
        <f t="shared" si="129"/>
        <v>2.8410316714161885</v>
      </c>
      <c r="W172" s="17">
        <f t="shared" si="129"/>
        <v>9.3740222740493682</v>
      </c>
      <c r="X172" s="17">
        <f t="shared" si="129"/>
        <v>4.9163574812682214</v>
      </c>
      <c r="Y172" s="50">
        <f t="shared" si="127"/>
        <v>-4.5723116789351437</v>
      </c>
      <c r="Z172" s="84">
        <f t="shared" si="114"/>
        <v>11.758092527769303</v>
      </c>
      <c r="AA172" s="5"/>
      <c r="AB172" s="5">
        <f t="shared" si="125"/>
        <v>0</v>
      </c>
    </row>
    <row r="173" spans="1:28" ht="13.5" customHeight="1">
      <c r="A173" s="17">
        <f t="shared" si="115"/>
        <v>170</v>
      </c>
      <c r="B173" s="5">
        <f t="shared" si="119"/>
        <v>10.008363854701013</v>
      </c>
      <c r="D173" s="64">
        <f t="shared" si="130"/>
        <v>11.111750398694785</v>
      </c>
      <c r="E173" s="54">
        <f t="shared" si="122"/>
        <v>0.11945451142367088</v>
      </c>
      <c r="F173" s="63">
        <f t="shared" si="112"/>
        <v>11.231204910118455</v>
      </c>
      <c r="G173" s="17">
        <f t="shared" si="128"/>
        <v>111.58486295214757</v>
      </c>
      <c r="H173" s="17">
        <f t="shared" si="128"/>
        <v>167.538124446897</v>
      </c>
      <c r="I173" s="17">
        <f t="shared" si="128"/>
        <v>232.62017113333053</v>
      </c>
      <c r="J173" s="17">
        <f t="shared" si="128"/>
        <v>304.47574539476989</v>
      </c>
      <c r="K173" s="17">
        <f t="shared" si="128"/>
        <v>378.32621030956375</v>
      </c>
      <c r="L173" s="63">
        <f t="shared" si="131"/>
        <v>6.8786836675508383</v>
      </c>
      <c r="M173" s="17">
        <f t="shared" si="129"/>
        <v>41682.563376758553</v>
      </c>
      <c r="N173" s="17">
        <f t="shared" si="129"/>
        <v>364.68102629156652</v>
      </c>
      <c r="O173" s="17">
        <f t="shared" si="129"/>
        <v>39.270710942951197</v>
      </c>
      <c r="P173" s="17">
        <f t="shared" si="129"/>
        <v>57.189281396925743</v>
      </c>
      <c r="Q173" s="17">
        <f t="shared" si="129"/>
        <v>103.70380242010759</v>
      </c>
      <c r="R173" s="17">
        <f t="shared" si="129"/>
        <v>20.698651198439705</v>
      </c>
      <c r="S173" s="17">
        <f t="shared" si="129"/>
        <v>11.176054160459787</v>
      </c>
      <c r="T173" s="17">
        <f t="shared" si="129"/>
        <v>30.470680535362728</v>
      </c>
      <c r="U173" s="17">
        <f t="shared" si="129"/>
        <v>3.4572799897867927</v>
      </c>
      <c r="V173" s="17">
        <f t="shared" si="129"/>
        <v>2.9032872642176386</v>
      </c>
      <c r="W173" s="17">
        <f t="shared" si="129"/>
        <v>9.5554888714051049</v>
      </c>
      <c r="X173" s="17">
        <f t="shared" si="129"/>
        <v>4.9976716096665132</v>
      </c>
      <c r="Y173" s="50">
        <f t="shared" si="127"/>
        <v>-4.8759382303509291</v>
      </c>
      <c r="Z173" s="84">
        <f t="shared" si="114"/>
        <v>11.249778113767432</v>
      </c>
      <c r="AA173" s="5"/>
      <c r="AB173" s="5">
        <f t="shared" si="125"/>
        <v>0</v>
      </c>
    </row>
    <row r="174" spans="1:28" ht="13.5" customHeight="1">
      <c r="A174" s="17">
        <f t="shared" si="115"/>
        <v>180</v>
      </c>
      <c r="B174" s="5">
        <f t="shared" si="119"/>
        <v>10.250884444485228</v>
      </c>
      <c r="D174" s="64">
        <f t="shared" si="130"/>
        <v>10.609625988664046</v>
      </c>
      <c r="E174" s="54">
        <f t="shared" si="122"/>
        <v>9.6438294740882044E-2</v>
      </c>
      <c r="F174" s="63">
        <f t="shared" si="112"/>
        <v>10.706064283404928</v>
      </c>
      <c r="G174" s="17">
        <f t="shared" si="128"/>
        <v>88.883957724427887</v>
      </c>
      <c r="H174" s="17">
        <f t="shared" si="128"/>
        <v>133.97751766857215</v>
      </c>
      <c r="I174" s="17">
        <f t="shared" si="128"/>
        <v>186.97129768353281</v>
      </c>
      <c r="J174" s="17">
        <f t="shared" si="128"/>
        <v>246.26711462430967</v>
      </c>
      <c r="K174" s="17">
        <f t="shared" si="128"/>
        <v>308.28305970797788</v>
      </c>
      <c r="L174" s="63">
        <f t="shared" si="131"/>
        <v>6.3529850163900337</v>
      </c>
      <c r="M174" s="17">
        <f t="shared" si="129"/>
        <v>41875.966601121072</v>
      </c>
      <c r="N174" s="17">
        <f t="shared" si="129"/>
        <v>394.04100378600168</v>
      </c>
      <c r="O174" s="17">
        <f t="shared" si="129"/>
        <v>41.690106354092457</v>
      </c>
      <c r="P174" s="17">
        <f t="shared" si="129"/>
        <v>60.445393744508927</v>
      </c>
      <c r="Q174" s="17">
        <f t="shared" si="129"/>
        <v>108.53094107106763</v>
      </c>
      <c r="R174" s="17">
        <f t="shared" si="129"/>
        <v>21.484175292163361</v>
      </c>
      <c r="S174" s="17">
        <f t="shared" si="129"/>
        <v>11.564073133482493</v>
      </c>
      <c r="T174" s="17">
        <f t="shared" si="129"/>
        <v>31.359374964003653</v>
      </c>
      <c r="U174" s="17">
        <f t="shared" si="129"/>
        <v>3.5382067358170102</v>
      </c>
      <c r="V174" s="17">
        <f t="shared" si="129"/>
        <v>2.9673722352217835</v>
      </c>
      <c r="W174" s="17">
        <f t="shared" si="129"/>
        <v>9.7416869166010933</v>
      </c>
      <c r="X174" s="17">
        <f t="shared" si="129"/>
        <v>5.0807873860917736</v>
      </c>
      <c r="Y174" s="50">
        <f t="shared" si="127"/>
        <v>-5.1468452296046419</v>
      </c>
      <c r="Z174" s="84">
        <f t="shared" si="114"/>
        <v>10.719533062942405</v>
      </c>
      <c r="AA174" s="5"/>
      <c r="AB174" s="5">
        <f t="shared" si="125"/>
        <v>0</v>
      </c>
    </row>
    <row r="175" spans="1:28" ht="13.5" customHeight="1">
      <c r="A175" s="17">
        <f t="shared" si="115"/>
        <v>190</v>
      </c>
      <c r="B175" s="5">
        <f t="shared" si="119"/>
        <v>10.521993123278367</v>
      </c>
      <c r="D175" s="64">
        <f t="shared" si="130"/>
        <v>10.082381352773856</v>
      </c>
      <c r="E175" s="54">
        <f t="shared" si="122"/>
        <v>7.9087614931688241E-2</v>
      </c>
      <c r="F175" s="63">
        <f t="shared" si="112"/>
        <v>10.161468967705545</v>
      </c>
      <c r="G175" s="17">
        <f t="shared" si="128"/>
        <v>72.14142967096862</v>
      </c>
      <c r="H175" s="17">
        <f t="shared" si="128"/>
        <v>109.06401884685762</v>
      </c>
      <c r="I175" s="17">
        <f t="shared" si="128"/>
        <v>152.7965832125569</v>
      </c>
      <c r="J175" s="17">
        <f t="shared" si="128"/>
        <v>202.23351357414845</v>
      </c>
      <c r="K175" s="17">
        <f t="shared" si="128"/>
        <v>254.64060401235074</v>
      </c>
      <c r="L175" s="63">
        <f t="shared" si="131"/>
        <v>5.8525106134051033</v>
      </c>
      <c r="M175" s="17">
        <f t="shared" si="129"/>
        <v>41561.921071354336</v>
      </c>
      <c r="N175" s="17">
        <f t="shared" si="129"/>
        <v>426.54967521289768</v>
      </c>
      <c r="O175" s="17">
        <f t="shared" si="129"/>
        <v>44.308601979299041</v>
      </c>
      <c r="P175" s="17">
        <f t="shared" si="129"/>
        <v>63.949747546373075</v>
      </c>
      <c r="Q175" s="17">
        <f t="shared" si="129"/>
        <v>113.661660450125</v>
      </c>
      <c r="R175" s="17">
        <f t="shared" si="129"/>
        <v>22.30966992373104</v>
      </c>
      <c r="S175" s="17">
        <f t="shared" si="129"/>
        <v>11.970188978063915</v>
      </c>
      <c r="T175" s="17">
        <f t="shared" si="129"/>
        <v>32.283222570494189</v>
      </c>
      <c r="U175" s="17">
        <f t="shared" si="129"/>
        <v>3.6216743885380525</v>
      </c>
      <c r="V175" s="17">
        <f t="shared" si="129"/>
        <v>3.033354163408394</v>
      </c>
      <c r="W175" s="17">
        <f t="shared" si="129"/>
        <v>9.9327721751624232</v>
      </c>
      <c r="X175" s="17">
        <f t="shared" si="129"/>
        <v>5.1657549451112041</v>
      </c>
      <c r="Y175" s="50">
        <f t="shared" si="127"/>
        <v>-5.3714989765778931</v>
      </c>
      <c r="Z175" s="84">
        <f t="shared" si="114"/>
        <v>10.169679620858073</v>
      </c>
      <c r="AA175" s="5"/>
      <c r="AB175" s="5">
        <f t="shared" si="125"/>
        <v>0</v>
      </c>
    </row>
    <row r="176" spans="1:28" ht="13.5" customHeight="1">
      <c r="A176" s="17">
        <f t="shared" si="115"/>
        <v>200</v>
      </c>
      <c r="B176" s="5">
        <f t="shared" si="119"/>
        <v>10.824714731654067</v>
      </c>
      <c r="D176" s="64">
        <f t="shared" si="130"/>
        <v>9.5353261933484674</v>
      </c>
      <c r="E176" s="54">
        <f t="shared" si="122"/>
        <v>6.5743061875992451E-2</v>
      </c>
      <c r="F176" s="63">
        <f t="shared" si="112"/>
        <v>9.6010692552244592</v>
      </c>
      <c r="G176" s="17">
        <f t="shared" ref="G176:K185" si="132">200*PI()*G$50*((G$24-$A176)*(ASINH(G$32/MAX(ABS(G$24-$A176),0.000001))-ASINH(G$28/MAX(ABS(G$24-$A176),0.000001)))-(G$22-$A176)*(ASINH(G$32/MAX(ABS(G$22-$A176),0.000001))-ASINH(G$28/MAX(ABS(G$22-$A176),0.000001))))</f>
        <v>59.481948652359627</v>
      </c>
      <c r="H176" s="17">
        <f t="shared" si="132"/>
        <v>90.132602559798386</v>
      </c>
      <c r="I176" s="17">
        <f t="shared" si="132"/>
        <v>126.65848493823383</v>
      </c>
      <c r="J176" s="17">
        <f t="shared" si="132"/>
        <v>168.28128205450565</v>
      </c>
      <c r="K176" s="17">
        <f t="shared" si="132"/>
        <v>212.87630055502706</v>
      </c>
      <c r="L176" s="63">
        <f t="shared" si="131"/>
        <v>5.3807933786963549</v>
      </c>
      <c r="M176" s="17">
        <f t="shared" ref="M176:X185" si="133">200*PI()*M$50*((M$24-$A176)*(ASINH(M$32/MAX(ABS(M$24-$A176),0.000001))-ASINH(M$28/MAX(ABS(M$24-$A176),0.000001)))-(M$22-$A176)*(ASINH(M$32/MAX(ABS(M$22-$A176),0.000001))-ASINH(M$28/MAX(ABS(M$22-$A176),0.000001))))</f>
        <v>40757.703162489874</v>
      </c>
      <c r="N176" s="17">
        <f t="shared" si="133"/>
        <v>462.62435221311171</v>
      </c>
      <c r="O176" s="17">
        <f t="shared" si="133"/>
        <v>47.146677160276134</v>
      </c>
      <c r="P176" s="17">
        <f t="shared" si="133"/>
        <v>67.726068761214435</v>
      </c>
      <c r="Q176" s="17">
        <f t="shared" si="133"/>
        <v>119.12011979494797</v>
      </c>
      <c r="R176" s="17">
        <f t="shared" si="133"/>
        <v>23.177690971754078</v>
      </c>
      <c r="S176" s="17">
        <f t="shared" si="133"/>
        <v>12.395464574897183</v>
      </c>
      <c r="T176" s="17">
        <f t="shared" si="133"/>
        <v>33.243990898603705</v>
      </c>
      <c r="U176" s="17">
        <f t="shared" si="133"/>
        <v>3.7077832745939365</v>
      </c>
      <c r="V176" s="17">
        <f t="shared" si="133"/>
        <v>3.101303643580136</v>
      </c>
      <c r="W176" s="17">
        <f t="shared" si="133"/>
        <v>10.128906632384266</v>
      </c>
      <c r="X176" s="17">
        <f t="shared" si="133"/>
        <v>5.2526261058842172</v>
      </c>
      <c r="Y176" s="50">
        <f t="shared" si="127"/>
        <v>-5.5368688430509305</v>
      </c>
      <c r="Z176" s="84">
        <f t="shared" si="114"/>
        <v>9.6046132022907802</v>
      </c>
      <c r="AA176" s="5"/>
      <c r="AB176" s="5">
        <f t="shared" si="125"/>
        <v>0</v>
      </c>
    </row>
    <row r="177" spans="1:28" ht="13.5" customHeight="1">
      <c r="A177" s="17">
        <f t="shared" si="115"/>
        <v>210</v>
      </c>
      <c r="B177" s="5">
        <f t="shared" si="119"/>
        <v>11.161563240401518</v>
      </c>
      <c r="D177" s="64">
        <f t="shared" si="130"/>
        <v>8.9750075841636701</v>
      </c>
      <c r="E177" s="54">
        <f t="shared" si="122"/>
        <v>5.5298558911848636E-2</v>
      </c>
      <c r="F177" s="63">
        <f t="shared" si="112"/>
        <v>9.0303061430755189</v>
      </c>
      <c r="G177" s="17">
        <f t="shared" si="132"/>
        <v>49.706319033584862</v>
      </c>
      <c r="H177" s="17">
        <f t="shared" si="132"/>
        <v>75.457204050976657</v>
      </c>
      <c r="I177" s="17">
        <f t="shared" si="132"/>
        <v>106.29304583969284</v>
      </c>
      <c r="J177" s="17">
        <f t="shared" si="132"/>
        <v>141.65748125110548</v>
      </c>
      <c r="K177" s="17">
        <f t="shared" si="132"/>
        <v>179.87153894312652</v>
      </c>
      <c r="L177" s="63">
        <f t="shared" si="131"/>
        <v>4.9399931862664959</v>
      </c>
      <c r="M177" s="17">
        <f t="shared" si="133"/>
        <v>39506.620937363477</v>
      </c>
      <c r="N177" s="17">
        <f t="shared" si="133"/>
        <v>502.74685971534558</v>
      </c>
      <c r="O177" s="17">
        <f t="shared" si="133"/>
        <v>50.227332083000896</v>
      </c>
      <c r="P177" s="17">
        <f t="shared" si="133"/>
        <v>71.800807312998671</v>
      </c>
      <c r="Q177" s="17">
        <f t="shared" si="133"/>
        <v>124.9328107755634</v>
      </c>
      <c r="R177" s="17">
        <f t="shared" si="133"/>
        <v>24.090991406833943</v>
      </c>
      <c r="S177" s="17">
        <f t="shared" si="133"/>
        <v>12.841038264821728</v>
      </c>
      <c r="T177" s="17">
        <f t="shared" si="133"/>
        <v>34.243555898912788</v>
      </c>
      <c r="U177" s="17">
        <f t="shared" si="133"/>
        <v>3.7966384977791008</v>
      </c>
      <c r="V177" s="17">
        <f t="shared" si="133"/>
        <v>3.1712944393928888</v>
      </c>
      <c r="W177" s="17">
        <f t="shared" si="133"/>
        <v>10.330258786858952</v>
      </c>
      <c r="X177" s="17">
        <f t="shared" si="133"/>
        <v>5.3414544267621018</v>
      </c>
      <c r="Y177" s="50">
        <f t="shared" si="127"/>
        <v>-5.6321230488322094</v>
      </c>
      <c r="Z177" s="84">
        <f t="shared" si="114"/>
        <v>9.0302343244525005</v>
      </c>
      <c r="AA177" s="5"/>
      <c r="AB177" s="5">
        <f t="shared" si="125"/>
        <v>0</v>
      </c>
    </row>
    <row r="178" spans="1:28" ht="13.5" customHeight="1">
      <c r="A178" s="17">
        <f t="shared" si="115"/>
        <v>220</v>
      </c>
      <c r="B178" s="5">
        <f t="shared" si="119"/>
        <v>11.534436124276674</v>
      </c>
      <c r="D178" s="64">
        <f t="shared" si="130"/>
        <v>8.4089015835820256</v>
      </c>
      <c r="E178" s="54">
        <f t="shared" si="122"/>
        <v>4.6997393171762124E-2</v>
      </c>
      <c r="F178" s="63">
        <f t="shared" si="112"/>
        <v>8.4558989767537884</v>
      </c>
      <c r="G178" s="17">
        <f t="shared" si="132"/>
        <v>42.020611089367392</v>
      </c>
      <c r="H178" s="17">
        <f t="shared" si="132"/>
        <v>63.883774034138099</v>
      </c>
      <c r="I178" s="17">
        <f t="shared" si="132"/>
        <v>90.166789213614109</v>
      </c>
      <c r="J178" s="17">
        <f t="shared" si="132"/>
        <v>120.466685343143</v>
      </c>
      <c r="K178" s="17">
        <f t="shared" si="132"/>
        <v>153.43607203735857</v>
      </c>
      <c r="L178" s="63">
        <f t="shared" si="131"/>
        <v>4.5310581453307064</v>
      </c>
      <c r="M178" s="17">
        <f t="shared" si="133"/>
        <v>37873.305474782384</v>
      </c>
      <c r="N178" s="17">
        <f t="shared" si="133"/>
        <v>547.47450416879474</v>
      </c>
      <c r="O178" s="17">
        <f t="shared" si="133"/>
        <v>53.576447394926532</v>
      </c>
      <c r="P178" s="17">
        <f t="shared" si="133"/>
        <v>76.203501357945797</v>
      </c>
      <c r="Q178" s="17">
        <f t="shared" si="133"/>
        <v>131.12882262282938</v>
      </c>
      <c r="R178" s="17">
        <f t="shared" si="133"/>
        <v>25.052539114755213</v>
      </c>
      <c r="S178" s="17">
        <f t="shared" si="133"/>
        <v>13.308130150538332</v>
      </c>
      <c r="T178" s="17">
        <f t="shared" si="133"/>
        <v>35.283909821273717</v>
      </c>
      <c r="U178" s="17">
        <f t="shared" si="133"/>
        <v>3.8883502080738754</v>
      </c>
      <c r="V178" s="17">
        <f t="shared" si="133"/>
        <v>3.2434036567317102</v>
      </c>
      <c r="W178" s="17">
        <f t="shared" si="133"/>
        <v>10.537003943152301</v>
      </c>
      <c r="X178" s="17">
        <f t="shared" si="133"/>
        <v>5.4322952918061</v>
      </c>
      <c r="Y178" s="50">
        <f t="shared" si="127"/>
        <v>-5.6502737651627699</v>
      </c>
      <c r="Z178" s="84">
        <f t="shared" si="114"/>
        <v>8.4534060704949638</v>
      </c>
      <c r="AA178" s="5"/>
      <c r="AB178" s="5">
        <f t="shared" si="125"/>
        <v>0</v>
      </c>
    </row>
    <row r="179" spans="1:28" ht="13.5" customHeight="1">
      <c r="A179" s="17">
        <f t="shared" si="115"/>
        <v>230</v>
      </c>
      <c r="B179" s="5">
        <f t="shared" si="119"/>
        <v>11.944505738499908</v>
      </c>
      <c r="D179" s="64">
        <f t="shared" si="130"/>
        <v>7.8449528311311161</v>
      </c>
      <c r="E179" s="54">
        <f t="shared" si="122"/>
        <v>4.0309669589091435E-2</v>
      </c>
      <c r="F179" s="63">
        <f t="shared" si="112"/>
        <v>7.8852625007202075</v>
      </c>
      <c r="G179" s="17">
        <f t="shared" si="132"/>
        <v>35.883329823430103</v>
      </c>
      <c r="H179" s="17">
        <f t="shared" si="132"/>
        <v>54.619077161744826</v>
      </c>
      <c r="I179" s="17">
        <f t="shared" si="132"/>
        <v>77.214787631924452</v>
      </c>
      <c r="J179" s="17">
        <f t="shared" si="132"/>
        <v>103.37534743168028</v>
      </c>
      <c r="K179" s="17">
        <f t="shared" si="132"/>
        <v>132.00415384213474</v>
      </c>
      <c r="L179" s="63">
        <f t="shared" si="131"/>
        <v>4.1539410426062737</v>
      </c>
      <c r="M179" s="17">
        <f t="shared" si="133"/>
        <v>35936.928393675393</v>
      </c>
      <c r="N179" s="17">
        <f t="shared" si="133"/>
        <v>597.45291934157945</v>
      </c>
      <c r="O179" s="17">
        <f t="shared" si="133"/>
        <v>57.223201735870923</v>
      </c>
      <c r="P179" s="17">
        <f t="shared" si="133"/>
        <v>80.967196929668958</v>
      </c>
      <c r="Q179" s="17">
        <f t="shared" si="133"/>
        <v>137.74014194533979</v>
      </c>
      <c r="R179" s="17">
        <f t="shared" si="133"/>
        <v>26.065536542339775</v>
      </c>
      <c r="S179" s="17">
        <f t="shared" si="133"/>
        <v>13.798048990832068</v>
      </c>
      <c r="T179" s="17">
        <f t="shared" si="133"/>
        <v>36.367169748964272</v>
      </c>
      <c r="U179" s="17">
        <f t="shared" si="133"/>
        <v>3.9830338985971903</v>
      </c>
      <c r="V179" s="17">
        <f t="shared" si="133"/>
        <v>3.3177119127458248</v>
      </c>
      <c r="W179" s="17">
        <f t="shared" si="133"/>
        <v>10.74932455277397</v>
      </c>
      <c r="X179" s="17">
        <f t="shared" si="133"/>
        <v>5.5252059743274904</v>
      </c>
      <c r="Y179" s="50">
        <f t="shared" si="127"/>
        <v>-5.5893643618638444</v>
      </c>
      <c r="Z179" s="84">
        <f t="shared" si="114"/>
        <v>7.8814055106132788</v>
      </c>
      <c r="AA179" s="5"/>
      <c r="AB179" s="5">
        <f t="shared" si="125"/>
        <v>0</v>
      </c>
    </row>
    <row r="180" spans="1:28" ht="13.5" customHeight="1">
      <c r="A180" s="17">
        <f t="shared" si="115"/>
        <v>240</v>
      </c>
      <c r="B180" s="5">
        <f t="shared" si="119"/>
        <v>12.392137001693287</v>
      </c>
      <c r="D180" s="64">
        <f t="shared" si="130"/>
        <v>7.2910287112092567</v>
      </c>
      <c r="E180" s="54">
        <f t="shared" si="122"/>
        <v>3.4856512239226173E-2</v>
      </c>
      <c r="F180" s="63">
        <f t="shared" si="112"/>
        <v>7.3258852234484833</v>
      </c>
      <c r="G180" s="17">
        <f t="shared" si="132"/>
        <v>30.915523590937298</v>
      </c>
      <c r="H180" s="17">
        <f t="shared" si="132"/>
        <v>47.104530738329878</v>
      </c>
      <c r="I180" s="17">
        <f t="shared" si="132"/>
        <v>66.680908422387077</v>
      </c>
      <c r="J180" s="17">
        <f t="shared" si="132"/>
        <v>89.426573082091934</v>
      </c>
      <c r="K180" s="17">
        <f t="shared" si="132"/>
        <v>114.43758655851552</v>
      </c>
      <c r="L180" s="63">
        <f t="shared" si="131"/>
        <v>3.8078305394717202</v>
      </c>
      <c r="M180" s="17">
        <f t="shared" si="133"/>
        <v>33783.41519187799</v>
      </c>
      <c r="N180" s="17">
        <f t="shared" si="133"/>
        <v>653.43104382519039</v>
      </c>
      <c r="O180" s="17">
        <f t="shared" si="133"/>
        <v>61.20055744417013</v>
      </c>
      <c r="P180" s="17">
        <f t="shared" si="133"/>
        <v>86.128932318371113</v>
      </c>
      <c r="Q180" s="17">
        <f t="shared" si="133"/>
        <v>144.80199233975057</v>
      </c>
      <c r="R180" s="17">
        <f t="shared" si="133"/>
        <v>27.133442433949586</v>
      </c>
      <c r="S180" s="17">
        <f t="shared" si="133"/>
        <v>14.312199774697049</v>
      </c>
      <c r="T180" s="17">
        <f t="shared" si="133"/>
        <v>37.495586884272583</v>
      </c>
      <c r="U180" s="17">
        <f t="shared" si="133"/>
        <v>4.0808106897660759</v>
      </c>
      <c r="V180" s="17">
        <f t="shared" si="133"/>
        <v>3.3943035273494964</v>
      </c>
      <c r="W180" s="17">
        <f t="shared" si="133"/>
        <v>10.967410553696411</v>
      </c>
      <c r="X180" s="17">
        <f t="shared" si="133"/>
        <v>5.620245706147033</v>
      </c>
      <c r="Y180" s="50">
        <f t="shared" si="127"/>
        <v>-5.4528595183401807</v>
      </c>
      <c r="Z180" s="84">
        <f t="shared" si="114"/>
        <v>7.3213917052199209</v>
      </c>
      <c r="AA180" s="5"/>
      <c r="AB180" s="5">
        <f t="shared" si="125"/>
        <v>0</v>
      </c>
    </row>
    <row r="181" spans="1:28" ht="13.5" customHeight="1">
      <c r="A181" s="17">
        <f t="shared" si="115"/>
        <v>250</v>
      </c>
      <c r="B181" s="5">
        <f t="shared" si="119"/>
        <v>12.876847887704034</v>
      </c>
      <c r="D181" s="64">
        <f t="shared" si="130"/>
        <v>6.7543809274630799</v>
      </c>
      <c r="E181" s="54">
        <f t="shared" si="122"/>
        <v>3.0361914596224514E-2</v>
      </c>
      <c r="F181" s="63">
        <f t="shared" si="112"/>
        <v>6.7847428420593046</v>
      </c>
      <c r="G181" s="17">
        <f t="shared" si="132"/>
        <v>26.845968850181112</v>
      </c>
      <c r="H181" s="17">
        <f t="shared" si="132"/>
        <v>40.938321526382026</v>
      </c>
      <c r="I181" s="17">
        <f t="shared" si="132"/>
        <v>58.017546653484509</v>
      </c>
      <c r="J181" s="17">
        <f t="shared" si="132"/>
        <v>77.921346992150973</v>
      </c>
      <c r="K181" s="17">
        <f t="shared" si="132"/>
        <v>99.895961940046519</v>
      </c>
      <c r="L181" s="63">
        <f t="shared" si="131"/>
        <v>3.4913689715196097</v>
      </c>
      <c r="M181" s="17">
        <f t="shared" si="133"/>
        <v>31497.86409203006</v>
      </c>
      <c r="N181" s="17">
        <f t="shared" si="133"/>
        <v>716.27846827422252</v>
      </c>
      <c r="O181" s="17">
        <f t="shared" si="133"/>
        <v>65.545826655614036</v>
      </c>
      <c r="P181" s="17">
        <f t="shared" si="133"/>
        <v>91.730298283284057</v>
      </c>
      <c r="Q181" s="17">
        <f t="shared" si="133"/>
        <v>152.35321977807868</v>
      </c>
      <c r="R181" s="17">
        <f t="shared" si="133"/>
        <v>28.259995856255422</v>
      </c>
      <c r="S181" s="17">
        <f t="shared" si="133"/>
        <v>14.852092033427789</v>
      </c>
      <c r="T181" s="17">
        <f t="shared" si="133"/>
        <v>38.671556621957862</v>
      </c>
      <c r="U181" s="17">
        <f t="shared" si="133"/>
        <v>4.1818076716635417</v>
      </c>
      <c r="V181" s="17">
        <f t="shared" si="133"/>
        <v>3.4732667277745635</v>
      </c>
      <c r="W181" s="17">
        <f t="shared" si="133"/>
        <v>11.191459728058568</v>
      </c>
      <c r="X181" s="17">
        <f t="shared" si="133"/>
        <v>5.7174757743026285</v>
      </c>
      <c r="Y181" s="50">
        <f t="shared" si="127"/>
        <v>-5.2491149351496569</v>
      </c>
      <c r="Z181" s="84">
        <f t="shared" si="114"/>
        <v>6.7799367307885881</v>
      </c>
      <c r="AA181" s="5"/>
      <c r="AB181" s="5">
        <f t="shared" si="125"/>
        <v>0</v>
      </c>
    </row>
    <row r="182" spans="1:28" ht="13.5" customHeight="1">
      <c r="A182" s="17">
        <f t="shared" si="115"/>
        <v>260</v>
      </c>
      <c r="B182" s="5">
        <f t="shared" si="119"/>
        <v>13.397314622490086</v>
      </c>
      <c r="D182" s="64">
        <f t="shared" si="130"/>
        <v>6.2412057241793253</v>
      </c>
      <c r="E182" s="54">
        <f t="shared" si="122"/>
        <v>2.6621400562439307E-2</v>
      </c>
      <c r="F182" s="63">
        <f t="shared" si="112"/>
        <v>6.267827124741765</v>
      </c>
      <c r="G182" s="17">
        <f t="shared" si="132"/>
        <v>23.476671624729896</v>
      </c>
      <c r="H182" s="17">
        <f t="shared" si="132"/>
        <v>35.825900920302182</v>
      </c>
      <c r="I182" s="17">
        <f t="shared" si="132"/>
        <v>50.821034017023507</v>
      </c>
      <c r="J182" s="17">
        <f t="shared" si="132"/>
        <v>68.340679885382713</v>
      </c>
      <c r="K182" s="17">
        <f t="shared" si="132"/>
        <v>87.749719176954741</v>
      </c>
      <c r="L182" s="63">
        <f t="shared" si="131"/>
        <v>3.202840850582954</v>
      </c>
      <c r="M182" s="17">
        <f t="shared" si="133"/>
        <v>29158.241540546136</v>
      </c>
      <c r="N182" s="17">
        <f t="shared" si="133"/>
        <v>787.00533406513728</v>
      </c>
      <c r="O182" s="17">
        <f t="shared" si="133"/>
        <v>70.301332348558759</v>
      </c>
      <c r="P182" s="17">
        <f t="shared" si="133"/>
        <v>97.818087244036647</v>
      </c>
      <c r="Q182" s="17">
        <f t="shared" si="133"/>
        <v>160.43673071329218</v>
      </c>
      <c r="R182" s="17">
        <f t="shared" si="133"/>
        <v>29.449242811349702</v>
      </c>
      <c r="S182" s="17">
        <f t="shared" si="133"/>
        <v>15.419348984024976</v>
      </c>
      <c r="T182" s="17">
        <f t="shared" si="133"/>
        <v>39.897629504187385</v>
      </c>
      <c r="U182" s="17">
        <f t="shared" si="133"/>
        <v>4.2861582353314533</v>
      </c>
      <c r="V182" s="17">
        <f t="shared" si="133"/>
        <v>3.5546938506389885</v>
      </c>
      <c r="W182" s="17">
        <f t="shared" si="133"/>
        <v>11.42167808240845</v>
      </c>
      <c r="X182" s="17">
        <f t="shared" si="133"/>
        <v>5.8169595786163582</v>
      </c>
      <c r="Y182" s="50">
        <f t="shared" si="127"/>
        <v>-4.9900800463246764</v>
      </c>
      <c r="Z182" s="84">
        <f t="shared" si="114"/>
        <v>6.2626657399735972</v>
      </c>
      <c r="AA182" s="5"/>
      <c r="AB182" s="5">
        <f t="shared" si="125"/>
        <v>0</v>
      </c>
    </row>
    <row r="183" spans="1:28" ht="13.5" customHeight="1">
      <c r="A183" s="17">
        <f t="shared" si="115"/>
        <v>270</v>
      </c>
      <c r="B183" s="5">
        <f t="shared" si="119"/>
        <v>13.95141072400202</v>
      </c>
      <c r="D183" s="64">
        <f t="shared" si="130"/>
        <v>5.7563649181981447</v>
      </c>
      <c r="E183" s="54">
        <f t="shared" si="122"/>
        <v>2.3481170013031873E-2</v>
      </c>
      <c r="F183" s="63">
        <f t="shared" si="112"/>
        <v>5.7798460882111762</v>
      </c>
      <c r="G183" s="17">
        <f t="shared" si="132"/>
        <v>20.660542816457014</v>
      </c>
      <c r="H183" s="17">
        <f t="shared" si="132"/>
        <v>31.54768835079064</v>
      </c>
      <c r="I183" s="17">
        <f t="shared" si="132"/>
        <v>44.789035109861743</v>
      </c>
      <c r="J183" s="17">
        <f t="shared" si="132"/>
        <v>60.293519471480096</v>
      </c>
      <c r="K183" s="17">
        <f t="shared" si="132"/>
        <v>77.520914381729227</v>
      </c>
      <c r="L183" s="63">
        <f t="shared" si="131"/>
        <v>2.9403258364979035</v>
      </c>
      <c r="M183" s="17">
        <f t="shared" si="133"/>
        <v>26831.03822226125</v>
      </c>
      <c r="N183" s="17">
        <f t="shared" si="133"/>
        <v>866.78484145307516</v>
      </c>
      <c r="O183" s="17">
        <f t="shared" si="133"/>
        <v>75.515181663770605</v>
      </c>
      <c r="P183" s="17">
        <f t="shared" si="133"/>
        <v>104.44504708180389</v>
      </c>
      <c r="Q183" s="17">
        <f t="shared" si="133"/>
        <v>169.09999103446555</v>
      </c>
      <c r="R183" s="17">
        <f t="shared" si="133"/>
        <v>30.705565752457769</v>
      </c>
      <c r="S183" s="17">
        <f t="shared" si="133"/>
        <v>16.015717591716452</v>
      </c>
      <c r="T183" s="17">
        <f t="shared" si="133"/>
        <v>41.176523142710344</v>
      </c>
      <c r="U183" s="17">
        <f t="shared" si="133"/>
        <v>4.3940024388965426</v>
      </c>
      <c r="V183" s="17">
        <f t="shared" si="133"/>
        <v>3.6386815756227238</v>
      </c>
      <c r="W183" s="17">
        <f t="shared" si="133"/>
        <v>11.658280262942759</v>
      </c>
      <c r="X183" s="17">
        <f t="shared" si="133"/>
        <v>5.9187627436984727</v>
      </c>
      <c r="Y183" s="50">
        <f t="shared" si="127"/>
        <v>-4.6895956235089908</v>
      </c>
      <c r="Z183" s="84">
        <f t="shared" si="114"/>
        <v>5.7740348087668245</v>
      </c>
      <c r="AA183" s="5"/>
      <c r="AB183" s="5">
        <f t="shared" si="125"/>
        <v>0</v>
      </c>
    </row>
    <row r="184" spans="1:28" ht="13.5" customHeight="1">
      <c r="A184" s="17">
        <f t="shared" si="115"/>
        <v>280</v>
      </c>
      <c r="B184" s="5">
        <f t="shared" si="119"/>
        <v>14.536261577842886</v>
      </c>
      <c r="D184" s="64">
        <f t="shared" si="130"/>
        <v>5.3032865994775271</v>
      </c>
      <c r="E184" s="54">
        <f t="shared" si="122"/>
        <v>2.0823937996883594E-2</v>
      </c>
      <c r="F184" s="63">
        <f t="shared" si="112"/>
        <v>5.3241105374744109</v>
      </c>
      <c r="G184" s="17">
        <f t="shared" si="132"/>
        <v>18.286590437341808</v>
      </c>
      <c r="H184" s="17">
        <f t="shared" si="132"/>
        <v>27.937504585615329</v>
      </c>
      <c r="I184" s="17">
        <f t="shared" si="132"/>
        <v>39.691837541322521</v>
      </c>
      <c r="J184" s="17">
        <f t="shared" si="132"/>
        <v>53.48122965599125</v>
      </c>
      <c r="K184" s="17">
        <f t="shared" si="132"/>
        <v>68.842217748565034</v>
      </c>
      <c r="L184" s="63">
        <f t="shared" si="131"/>
        <v>2.701816361955117</v>
      </c>
      <c r="M184" s="17">
        <f t="shared" si="133"/>
        <v>24569.072463155586</v>
      </c>
      <c r="N184" s="17">
        <f t="shared" si="133"/>
        <v>956.97819345714379</v>
      </c>
      <c r="O184" s="17">
        <f t="shared" si="133"/>
        <v>81.242172148729736</v>
      </c>
      <c r="P184" s="17">
        <f t="shared" si="133"/>
        <v>111.67075812885203</v>
      </c>
      <c r="Q184" s="17">
        <f t="shared" si="133"/>
        <v>178.39559538811505</v>
      </c>
      <c r="R184" s="17">
        <f t="shared" si="133"/>
        <v>32.03371634725741</v>
      </c>
      <c r="S184" s="17">
        <f t="shared" si="133"/>
        <v>16.643079655082875</v>
      </c>
      <c r="T184" s="17">
        <f t="shared" si="133"/>
        <v>42.511135204020157</v>
      </c>
      <c r="U184" s="17">
        <f t="shared" si="133"/>
        <v>4.5054874104439868</v>
      </c>
      <c r="V184" s="17">
        <f t="shared" si="133"/>
        <v>3.7253311618572882</v>
      </c>
      <c r="W184" s="17">
        <f t="shared" si="133"/>
        <v>11.901489970157826</v>
      </c>
      <c r="X184" s="17">
        <f t="shared" si="133"/>
        <v>6.0229531968505121</v>
      </c>
      <c r="Y184" s="50">
        <f t="shared" si="127"/>
        <v>-4.3617027234892758</v>
      </c>
      <c r="Z184" s="84">
        <f t="shared" si="114"/>
        <v>5.3172508092052038</v>
      </c>
      <c r="AA184" s="5"/>
      <c r="AB184" s="5">
        <f t="shared" si="125"/>
        <v>0</v>
      </c>
    </row>
    <row r="185" spans="1:28" ht="13.5" customHeight="1">
      <c r="A185" s="17">
        <f t="shared" si="115"/>
        <v>290</v>
      </c>
      <c r="B185" s="5">
        <f t="shared" si="119"/>
        <v>15.148295242823997</v>
      </c>
      <c r="D185" s="64">
        <f t="shared" si="130"/>
        <v>4.8840243735002895</v>
      </c>
      <c r="E185" s="54">
        <f t="shared" si="122"/>
        <v>1.8559140095226509E-2</v>
      </c>
      <c r="F185" s="63">
        <f t="shared" si="112"/>
        <v>4.9025835135955163</v>
      </c>
      <c r="G185" s="17">
        <f t="shared" si="132"/>
        <v>16.269878997577905</v>
      </c>
      <c r="H185" s="17">
        <f t="shared" si="132"/>
        <v>24.867865365645574</v>
      </c>
      <c r="I185" s="17">
        <f t="shared" si="132"/>
        <v>35.352624280797272</v>
      </c>
      <c r="J185" s="17">
        <f t="shared" si="132"/>
        <v>47.672938246863119</v>
      </c>
      <c r="K185" s="17">
        <f t="shared" si="132"/>
        <v>61.428094061381223</v>
      </c>
      <c r="L185" s="63">
        <f t="shared" si="131"/>
        <v>2.4853036653138938</v>
      </c>
      <c r="M185" s="17">
        <f t="shared" si="133"/>
        <v>22411.192720061212</v>
      </c>
      <c r="N185" s="17">
        <f t="shared" si="133"/>
        <v>1059.1614011792453</v>
      </c>
      <c r="O185" s="17">
        <f t="shared" si="133"/>
        <v>87.544855512443249</v>
      </c>
      <c r="P185" s="17">
        <f t="shared" si="133"/>
        <v>119.56265545601659</v>
      </c>
      <c r="Q185" s="17">
        <f t="shared" si="133"/>
        <v>188.38191801621755</v>
      </c>
      <c r="R185" s="17">
        <f t="shared" si="133"/>
        <v>33.438851903980478</v>
      </c>
      <c r="S185" s="17">
        <f t="shared" si="133"/>
        <v>17.303464034957475</v>
      </c>
      <c r="T185" s="17">
        <f t="shared" si="133"/>
        <v>43.904557569565611</v>
      </c>
      <c r="U185" s="17">
        <f t="shared" si="133"/>
        <v>4.6207677561317482</v>
      </c>
      <c r="V185" s="17">
        <f t="shared" si="133"/>
        <v>3.8147487033831098</v>
      </c>
      <c r="W185" s="17">
        <f t="shared" si="133"/>
        <v>12.15154041118859</v>
      </c>
      <c r="X185" s="17">
        <f t="shared" si="133"/>
        <v>6.1296012596135601</v>
      </c>
      <c r="Y185" s="50">
        <f t="shared" si="127"/>
        <v>-4.0192855050590337</v>
      </c>
      <c r="Z185" s="84">
        <f t="shared" si="114"/>
        <v>4.8943149855179744</v>
      </c>
      <c r="AA185" s="5"/>
      <c r="AB185" s="5">
        <f t="shared" si="125"/>
        <v>0</v>
      </c>
    </row>
    <row r="186" spans="1:28" ht="13.5" customHeight="1">
      <c r="A186" s="17">
        <f t="shared" si="115"/>
        <v>300</v>
      </c>
      <c r="B186" s="5">
        <f t="shared" si="119"/>
        <v>15.783274320587562</v>
      </c>
      <c r="D186" s="64">
        <f t="shared" si="130"/>
        <v>4.4994294984657204</v>
      </c>
      <c r="E186" s="54">
        <f t="shared" si="122"/>
        <v>1.6616042431010249E-2</v>
      </c>
      <c r="F186" s="63">
        <f t="shared" si="112"/>
        <v>4.516045540896731</v>
      </c>
      <c r="G186" s="17">
        <f t="shared" ref="G186:K195" si="134">200*PI()*G$50*((G$24-$A186)*(ASINH(G$32/MAX(ABS(G$24-$A186),0.000001))-ASINH(G$28/MAX(ABS(G$24-$A186),0.000001)))-(G$22-$A186)*(ASINH(G$32/MAX(ABS(G$22-$A186),0.000001))-ASINH(G$28/MAX(ABS(G$22-$A186),0.000001))))</f>
        <v>14.544585397901416</v>
      </c>
      <c r="H186" s="17">
        <f t="shared" si="134"/>
        <v>22.239761719711641</v>
      </c>
      <c r="I186" s="17">
        <f t="shared" si="134"/>
        <v>31.633675405292539</v>
      </c>
      <c r="J186" s="17">
        <f t="shared" si="134"/>
        <v>42.688147671368938</v>
      </c>
      <c r="K186" s="17">
        <f t="shared" si="134"/>
        <v>55.054254115827931</v>
      </c>
      <c r="L186" s="63">
        <f t="shared" si="131"/>
        <v>2.2888374989783746</v>
      </c>
      <c r="M186" s="17">
        <f t="shared" ref="M186:X195" si="135">200*PI()*M$50*((M$24-$A186)*(ASINH(M$32/MAX(ABS(M$24-$A186),0.000001))-ASINH(M$28/MAX(ABS(M$24-$A186),0.000001)))-(M$22-$A186)*(ASINH(M$32/MAX(ABS(M$22-$A186),0.000001))-ASINH(M$28/MAX(ABS(M$22-$A186),0.000001))))</f>
        <v>20383.371170863258</v>
      </c>
      <c r="N186" s="17">
        <f t="shared" si="135"/>
        <v>1175.1527210349743</v>
      </c>
      <c r="O186" s="17">
        <f t="shared" si="135"/>
        <v>94.494788140341498</v>
      </c>
      <c r="P186" s="17">
        <f t="shared" si="135"/>
        <v>128.19722281886843</v>
      </c>
      <c r="Q186" s="17">
        <f t="shared" si="135"/>
        <v>199.1238582182786</v>
      </c>
      <c r="R186" s="17">
        <f t="shared" si="135"/>
        <v>34.926575906881496</v>
      </c>
      <c r="S186" s="17">
        <f t="shared" si="135"/>
        <v>17.999060161698932</v>
      </c>
      <c r="T186" s="17">
        <f t="shared" si="135"/>
        <v>45.360091786856678</v>
      </c>
      <c r="U186" s="17">
        <f t="shared" si="135"/>
        <v>4.7400060114084148</v>
      </c>
      <c r="V186" s="17">
        <f t="shared" si="135"/>
        <v>3.907045394791659</v>
      </c>
      <c r="W186" s="17">
        <f t="shared" si="135"/>
        <v>12.408674783483274</v>
      </c>
      <c r="X186" s="17">
        <f t="shared" si="135"/>
        <v>6.2387797526122455</v>
      </c>
      <c r="Y186" s="50">
        <f t="shared" si="127"/>
        <v>-3.6732027956007363</v>
      </c>
      <c r="Z186" s="84">
        <f t="shared" si="114"/>
        <v>4.5061573148913796</v>
      </c>
      <c r="AA186" s="5"/>
      <c r="AB186" s="5">
        <f t="shared" si="125"/>
        <v>0</v>
      </c>
    </row>
    <row r="187" spans="1:28" ht="13.5" customHeight="1">
      <c r="A187" s="17">
        <f t="shared" si="115"/>
        <v>310</v>
      </c>
      <c r="B187" s="5">
        <f t="shared" si="119"/>
        <v>16.436300643145405</v>
      </c>
      <c r="D187" s="64">
        <f t="shared" si="130"/>
        <v>4.1493838143801423</v>
      </c>
      <c r="E187" s="54">
        <f t="shared" si="122"/>
        <v>1.493881936292174E-2</v>
      </c>
      <c r="F187" s="63">
        <f t="shared" si="112"/>
        <v>4.1643226337430637</v>
      </c>
      <c r="G187" s="17">
        <f t="shared" si="134"/>
        <v>13.05910995250207</v>
      </c>
      <c r="H187" s="17">
        <f t="shared" si="134"/>
        <v>19.975435375825608</v>
      </c>
      <c r="I187" s="17">
        <f t="shared" si="134"/>
        <v>28.426559467791677</v>
      </c>
      <c r="J187" s="17">
        <f t="shared" si="134"/>
        <v>38.384283735729888</v>
      </c>
      <c r="K187" s="17">
        <f t="shared" si="134"/>
        <v>49.542805097368159</v>
      </c>
      <c r="L187" s="63">
        <f t="shared" si="131"/>
        <v>2.110565003523114</v>
      </c>
      <c r="M187" s="17">
        <f t="shared" si="135"/>
        <v>18500.61464838772</v>
      </c>
      <c r="N187" s="17">
        <f t="shared" si="135"/>
        <v>1307.0384676427616</v>
      </c>
      <c r="O187" s="17">
        <f t="shared" si="135"/>
        <v>102.17400307739283</v>
      </c>
      <c r="P187" s="17">
        <f t="shared" si="135"/>
        <v>137.66138965653721</v>
      </c>
      <c r="Q187" s="17">
        <f t="shared" si="135"/>
        <v>210.69369586059207</v>
      </c>
      <c r="R187" s="17">
        <f t="shared" si="135"/>
        <v>36.502983207084263</v>
      </c>
      <c r="S187" s="17">
        <f t="shared" si="135"/>
        <v>18.732232971670928</v>
      </c>
      <c r="T187" s="17">
        <f t="shared" si="135"/>
        <v>46.881265944767186</v>
      </c>
      <c r="U187" s="17">
        <f t="shared" si="135"/>
        <v>4.8633731180806796</v>
      </c>
      <c r="V187" s="17">
        <f t="shared" si="135"/>
        <v>4.002337829518261</v>
      </c>
      <c r="W187" s="17">
        <f t="shared" si="135"/>
        <v>12.673146771630227</v>
      </c>
      <c r="X187" s="17">
        <f t="shared" si="135"/>
        <v>6.3505641025237658</v>
      </c>
      <c r="Y187" s="50">
        <f t="shared" si="127"/>
        <v>-3.3319061322063481</v>
      </c>
      <c r="Z187" s="84">
        <f t="shared" si="114"/>
        <v>4.1528237883854198</v>
      </c>
      <c r="AA187" s="5"/>
      <c r="AB187" s="5">
        <f t="shared" si="125"/>
        <v>0</v>
      </c>
    </row>
    <row r="188" spans="1:28" ht="13.5" customHeight="1">
      <c r="A188" s="17">
        <f t="shared" si="115"/>
        <v>320</v>
      </c>
      <c r="B188" s="5">
        <f t="shared" si="119"/>
        <v>17.101792321310164</v>
      </c>
      <c r="D188" s="64">
        <f t="shared" si="130"/>
        <v>3.8330482720244508</v>
      </c>
      <c r="E188" s="54">
        <f t="shared" si="122"/>
        <v>1.3482986555026978E-2</v>
      </c>
      <c r="F188" s="63">
        <f t="shared" si="112"/>
        <v>3.8465312585794775</v>
      </c>
      <c r="G188" s="17">
        <f t="shared" si="134"/>
        <v>11.77257822182575</v>
      </c>
      <c r="H188" s="17">
        <f t="shared" si="134"/>
        <v>18.013191194653725</v>
      </c>
      <c r="I188" s="17">
        <f t="shared" si="134"/>
        <v>25.64505672177479</v>
      </c>
      <c r="J188" s="17">
        <f t="shared" si="134"/>
        <v>34.647655922264605</v>
      </c>
      <c r="K188" s="17">
        <f t="shared" si="134"/>
        <v>44.7513834897509</v>
      </c>
      <c r="L188" s="63">
        <f t="shared" si="131"/>
        <v>1.9487537639786314</v>
      </c>
      <c r="M188" s="17">
        <f t="shared" si="135"/>
        <v>16769.194538226067</v>
      </c>
      <c r="N188" s="17">
        <f t="shared" si="135"/>
        <v>1457.193400184359</v>
      </c>
      <c r="O188" s="17">
        <f t="shared" si="135"/>
        <v>110.67674456216808</v>
      </c>
      <c r="P188" s="17">
        <f t="shared" si="135"/>
        <v>148.05416857854678</v>
      </c>
      <c r="Q188" s="17">
        <f t="shared" si="135"/>
        <v>223.17207512723721</v>
      </c>
      <c r="R188" s="17">
        <f t="shared" si="135"/>
        <v>38.174710442701318</v>
      </c>
      <c r="S188" s="17">
        <f t="shared" si="135"/>
        <v>19.505539436708222</v>
      </c>
      <c r="T188" s="17">
        <f t="shared" si="135"/>
        <v>48.471853142491639</v>
      </c>
      <c r="U188" s="17">
        <f t="shared" si="135"/>
        <v>4.9910489310976356</v>
      </c>
      <c r="V188" s="17">
        <f t="shared" si="135"/>
        <v>4.1007482954929895</v>
      </c>
      <c r="W188" s="17">
        <f t="shared" si="135"/>
        <v>12.945221085604745</v>
      </c>
      <c r="X188" s="17">
        <f t="shared" si="135"/>
        <v>6.4650324457205786</v>
      </c>
      <c r="Y188" s="50">
        <f t="shared" si="127"/>
        <v>-3.0014440589714564</v>
      </c>
      <c r="Z188" s="84">
        <f t="shared" si="114"/>
        <v>3.8336816687388944</v>
      </c>
      <c r="AA188" s="5"/>
      <c r="AB188" s="5">
        <f t="shared" ref="AB188:AB205" si="136">100*MIN(0,D188-2-((500-A188)/200)^2)</f>
        <v>0</v>
      </c>
    </row>
    <row r="189" spans="1:28" ht="13.5" customHeight="1">
      <c r="A189" s="17">
        <f t="shared" si="115"/>
        <v>330</v>
      </c>
      <c r="B189" s="5">
        <f t="shared" si="119"/>
        <v>17.77344058410106</v>
      </c>
      <c r="D189" s="64">
        <f t="shared" si="130"/>
        <v>3.549095002585851</v>
      </c>
      <c r="E189" s="54">
        <f t="shared" si="122"/>
        <v>1.2212782125754175E-2</v>
      </c>
      <c r="F189" s="63">
        <f t="shared" si="112"/>
        <v>3.5613077847116053</v>
      </c>
      <c r="G189" s="17">
        <f t="shared" si="134"/>
        <v>10.652300886455851</v>
      </c>
      <c r="H189" s="17">
        <f t="shared" si="134"/>
        <v>16.303618800390666</v>
      </c>
      <c r="I189" s="17">
        <f t="shared" si="134"/>
        <v>23.219983308437346</v>
      </c>
      <c r="J189" s="17">
        <f t="shared" si="134"/>
        <v>31.386809930095971</v>
      </c>
      <c r="K189" s="17">
        <f t="shared" si="134"/>
        <v>40.56510833216192</v>
      </c>
      <c r="L189" s="63">
        <f t="shared" si="131"/>
        <v>1.8018032918280911</v>
      </c>
      <c r="M189" s="17">
        <f t="shared" si="135"/>
        <v>15188.838529310329</v>
      </c>
      <c r="N189" s="17">
        <f t="shared" si="135"/>
        <v>1628.2896502346448</v>
      </c>
      <c r="O189" s="17">
        <f t="shared" si="135"/>
        <v>120.11151349207523</v>
      </c>
      <c r="P189" s="17">
        <f t="shared" si="135"/>
        <v>159.48857794507762</v>
      </c>
      <c r="Q189" s="17">
        <f t="shared" si="135"/>
        <v>236.64913797546157</v>
      </c>
      <c r="R189" s="17">
        <f t="shared" si="135"/>
        <v>39.948992391254407</v>
      </c>
      <c r="S189" s="17">
        <f t="shared" si="135"/>
        <v>20.321746887312042</v>
      </c>
      <c r="T189" s="17">
        <f t="shared" si="135"/>
        <v>50.135891688837347</v>
      </c>
      <c r="U189" s="17">
        <f t="shared" si="135"/>
        <v>5.1232227709751852</v>
      </c>
      <c r="V189" s="17">
        <f t="shared" si="135"/>
        <v>4.2024051152925894</v>
      </c>
      <c r="W189" s="17">
        <f t="shared" si="135"/>
        <v>13.225174023947822</v>
      </c>
      <c r="X189" s="17">
        <f t="shared" si="135"/>
        <v>6.5822657423850526</v>
      </c>
      <c r="Y189" s="50">
        <f t="shared" si="127"/>
        <v>-2.6857195625552199</v>
      </c>
      <c r="Z189" s="84">
        <f t="shared" si="114"/>
        <v>3.5476151720452038</v>
      </c>
      <c r="AA189" s="5"/>
      <c r="AB189" s="5">
        <f t="shared" si="136"/>
        <v>0</v>
      </c>
    </row>
    <row r="190" spans="1:28" ht="13.5" customHeight="1">
      <c r="A190" s="17">
        <f t="shared" si="115"/>
        <v>340</v>
      </c>
      <c r="B190" s="5">
        <f t="shared" si="119"/>
        <v>18.444162025746305</v>
      </c>
      <c r="D190" s="64">
        <f t="shared" si="130"/>
        <v>3.2959043595134068</v>
      </c>
      <c r="E190" s="54">
        <f t="shared" si="122"/>
        <v>1.1099220471224058E-2</v>
      </c>
      <c r="F190" s="63">
        <f t="shared" si="112"/>
        <v>3.3070035799846309</v>
      </c>
      <c r="G190" s="17">
        <f t="shared" si="134"/>
        <v>9.6719043020497075</v>
      </c>
      <c r="H190" s="17">
        <f t="shared" si="134"/>
        <v>14.806804407259328</v>
      </c>
      <c r="I190" s="17">
        <f t="shared" si="134"/>
        <v>21.095357985649688</v>
      </c>
      <c r="J190" s="17">
        <f t="shared" si="134"/>
        <v>28.527581050490969</v>
      </c>
      <c r="K190" s="17">
        <f t="shared" si="134"/>
        <v>36.890556966790882</v>
      </c>
      <c r="L190" s="63">
        <f t="shared" si="131"/>
        <v>1.6682483406384698</v>
      </c>
      <c r="M190" s="17">
        <f t="shared" si="135"/>
        <v>13754.673401448415</v>
      </c>
      <c r="N190" s="17">
        <f t="shared" si="135"/>
        <v>1823.2851069907465</v>
      </c>
      <c r="O190" s="17">
        <f t="shared" si="135"/>
        <v>130.60348042586494</v>
      </c>
      <c r="P190" s="17">
        <f t="shared" si="135"/>
        <v>172.093902597175</v>
      </c>
      <c r="Q190" s="17">
        <f t="shared" si="135"/>
        <v>251.22583270076817</v>
      </c>
      <c r="R190" s="17">
        <f t="shared" si="135"/>
        <v>41.833725031177707</v>
      </c>
      <c r="S190" s="17">
        <f t="shared" si="135"/>
        <v>21.183853356746379</v>
      </c>
      <c r="T190" s="17">
        <f t="shared" si="135"/>
        <v>51.87770724827368</v>
      </c>
      <c r="U190" s="17">
        <f t="shared" si="135"/>
        <v>5.2600940011128845</v>
      </c>
      <c r="V190" s="17">
        <f t="shared" si="135"/>
        <v>4.3074429799604035</v>
      </c>
      <c r="W190" s="17">
        <f t="shared" si="135"/>
        <v>13.513294071200107</v>
      </c>
      <c r="X190" s="17">
        <f t="shared" si="135"/>
        <v>6.7023478979276865</v>
      </c>
      <c r="Y190" s="50">
        <f t="shared" si="127"/>
        <v>-2.3868800431799553</v>
      </c>
      <c r="Z190" s="84">
        <f t="shared" si="114"/>
        <v>3.2931925907717181</v>
      </c>
      <c r="AA190" s="5"/>
      <c r="AB190" s="5">
        <f t="shared" si="136"/>
        <v>0</v>
      </c>
    </row>
    <row r="191" spans="1:28" ht="13.5" customHeight="1">
      <c r="A191" s="17">
        <f t="shared" si="115"/>
        <v>350</v>
      </c>
      <c r="B191" s="5">
        <f t="shared" si="119"/>
        <v>19.106070891232452</v>
      </c>
      <c r="D191" s="64">
        <f t="shared" si="130"/>
        <v>3.0717189939498599</v>
      </c>
      <c r="E191" s="54">
        <f t="shared" si="122"/>
        <v>1.0118629684647149E-2</v>
      </c>
      <c r="F191" s="63">
        <f t="shared" si="112"/>
        <v>3.0818376236345069</v>
      </c>
      <c r="G191" s="17">
        <f t="shared" si="134"/>
        <v>8.8099375569782161</v>
      </c>
      <c r="H191" s="17">
        <f t="shared" si="134"/>
        <v>13.490248452457452</v>
      </c>
      <c r="I191" s="17">
        <f t="shared" si="134"/>
        <v>19.225530083514979</v>
      </c>
      <c r="J191" s="17">
        <f t="shared" si="134"/>
        <v>26.009372441314415</v>
      </c>
      <c r="K191" s="17">
        <f t="shared" si="134"/>
        <v>33.651208312206421</v>
      </c>
      <c r="L191" s="63">
        <f t="shared" si="131"/>
        <v>1.5467566884430897</v>
      </c>
      <c r="M191" s="17">
        <f t="shared" si="135"/>
        <v>12458.825942860554</v>
      </c>
      <c r="N191" s="17">
        <f t="shared" si="135"/>
        <v>2045.3782890456484</v>
      </c>
      <c r="O191" s="17">
        <f t="shared" si="135"/>
        <v>142.29733173672261</v>
      </c>
      <c r="P191" s="17">
        <f t="shared" si="135"/>
        <v>186.0183557818429</v>
      </c>
      <c r="Q191" s="17">
        <f t="shared" si="135"/>
        <v>267.01542769881104</v>
      </c>
      <c r="R191" s="17">
        <f t="shared" si="135"/>
        <v>43.837536209809336</v>
      </c>
      <c r="S191" s="17">
        <f t="shared" si="135"/>
        <v>22.095110173235497</v>
      </c>
      <c r="T191" s="17">
        <f t="shared" si="135"/>
        <v>53.701937144997707</v>
      </c>
      <c r="U191" s="17">
        <f t="shared" si="135"/>
        <v>5.401872658121472</v>
      </c>
      <c r="V191" s="17">
        <f t="shared" si="135"/>
        <v>4.4160033339560609</v>
      </c>
      <c r="W191" s="17">
        <f t="shared" si="135"/>
        <v>13.809882532735534</v>
      </c>
      <c r="X191" s="17">
        <f t="shared" si="135"/>
        <v>6.8253658912685671</v>
      </c>
      <c r="Y191" s="50">
        <f t="shared" si="127"/>
        <v>-2.1057523458643734</v>
      </c>
      <c r="Z191" s="84">
        <f t="shared" si="114"/>
        <v>3.068793436386243</v>
      </c>
      <c r="AA191" s="5"/>
      <c r="AB191" s="5">
        <f t="shared" si="136"/>
        <v>0</v>
      </c>
    </row>
    <row r="192" spans="1:28" ht="13.5" customHeight="1">
      <c r="A192" s="17">
        <f t="shared" si="115"/>
        <v>360</v>
      </c>
      <c r="B192" s="5">
        <f t="shared" si="119"/>
        <v>19.750505895673996</v>
      </c>
      <c r="D192" s="64">
        <f t="shared" si="130"/>
        <v>2.8747538903405321</v>
      </c>
      <c r="E192" s="54">
        <f t="shared" si="122"/>
        <v>9.2515409172090057E-3</v>
      </c>
      <c r="F192" s="63">
        <f t="shared" si="112"/>
        <v>2.8840054312577412</v>
      </c>
      <c r="G192" s="17">
        <f t="shared" si="134"/>
        <v>8.0488227154562217</v>
      </c>
      <c r="H192" s="17">
        <f t="shared" si="134"/>
        <v>12.327293017080695</v>
      </c>
      <c r="I192" s="17">
        <f t="shared" si="134"/>
        <v>17.573004448302324</v>
      </c>
      <c r="J192" s="17">
        <f t="shared" si="134"/>
        <v>23.782326164235055</v>
      </c>
      <c r="K192" s="17">
        <f t="shared" si="134"/>
        <v>30.783962827015742</v>
      </c>
      <c r="L192" s="63">
        <f t="shared" si="131"/>
        <v>1.4361233587715214</v>
      </c>
      <c r="M192" s="17">
        <f t="shared" si="135"/>
        <v>11291.668747552127</v>
      </c>
      <c r="N192" s="17">
        <f t="shared" si="135"/>
        <v>2297.9123131329907</v>
      </c>
      <c r="O192" s="17">
        <f t="shared" si="135"/>
        <v>155.36062391000533</v>
      </c>
      <c r="P192" s="17">
        <f t="shared" si="135"/>
        <v>201.43221688708985</v>
      </c>
      <c r="Q192" s="17">
        <f t="shared" si="135"/>
        <v>284.14526609682326</v>
      </c>
      <c r="R192" s="17">
        <f t="shared" si="135"/>
        <v>45.969864956403889</v>
      </c>
      <c r="S192" s="17">
        <f t="shared" si="135"/>
        <v>23.059047112200538</v>
      </c>
      <c r="T192" s="17">
        <f t="shared" si="135"/>
        <v>55.613557032124383</v>
      </c>
      <c r="U192" s="17">
        <f t="shared" si="135"/>
        <v>5.5487801241578829</v>
      </c>
      <c r="V192" s="17">
        <f t="shared" si="135"/>
        <v>4.5282347652167028</v>
      </c>
      <c r="W192" s="17">
        <f t="shared" si="135"/>
        <v>14.115254215105852</v>
      </c>
      <c r="X192" s="17">
        <f t="shared" si="135"/>
        <v>6.9514099058612686</v>
      </c>
      <c r="Y192" s="50">
        <f t="shared" ref="Y192:Y223" si="137">100*(D193-D191)/(A193-A191)</f>
        <v>-1.8422705366597605</v>
      </c>
      <c r="Z192" s="84">
        <f t="shared" si="114"/>
        <v>2.8726899121326461</v>
      </c>
      <c r="AA192" s="5"/>
      <c r="AB192" s="5">
        <f t="shared" si="136"/>
        <v>0</v>
      </c>
    </row>
    <row r="193" spans="1:28" ht="13.5" customHeight="1">
      <c r="A193" s="17">
        <f t="shared" si="115"/>
        <v>370</v>
      </c>
      <c r="B193" s="5">
        <f t="shared" si="119"/>
        <v>20.368155371394121</v>
      </c>
      <c r="D193" s="64">
        <f t="shared" si="130"/>
        <v>2.7032648866179079</v>
      </c>
      <c r="E193" s="54">
        <f t="shared" si="122"/>
        <v>8.4818367959558494E-3</v>
      </c>
      <c r="F193" s="63">
        <f t="shared" si="112"/>
        <v>2.7117467234138637</v>
      </c>
      <c r="G193" s="17">
        <f t="shared" si="134"/>
        <v>7.3740553407639533</v>
      </c>
      <c r="H193" s="17">
        <f t="shared" si="134"/>
        <v>11.295921977253601</v>
      </c>
      <c r="I193" s="17">
        <f t="shared" si="134"/>
        <v>16.106777754957541</v>
      </c>
      <c r="J193" s="17">
        <f t="shared" si="134"/>
        <v>21.805152210658779</v>
      </c>
      <c r="K193" s="17">
        <f t="shared" si="134"/>
        <v>28.236460675924622</v>
      </c>
      <c r="L193" s="63">
        <f t="shared" si="131"/>
        <v>1.3352627169842346</v>
      </c>
      <c r="M193" s="17">
        <f t="shared" si="135"/>
        <v>10242.74296697084</v>
      </c>
      <c r="N193" s="17">
        <f t="shared" si="135"/>
        <v>2584.2065466460426</v>
      </c>
      <c r="O193" s="17">
        <f t="shared" si="135"/>
        <v>169.98773005581123</v>
      </c>
      <c r="P193" s="17">
        <f t="shared" si="135"/>
        <v>218.53153291765278</v>
      </c>
      <c r="Q193" s="17">
        <f t="shared" si="135"/>
        <v>302.75880361204139</v>
      </c>
      <c r="R193" s="17">
        <f t="shared" si="135"/>
        <v>48.241050622803193</v>
      </c>
      <c r="S193" s="17">
        <f t="shared" si="135"/>
        <v>24.079500417175637</v>
      </c>
      <c r="T193" s="17">
        <f t="shared" si="135"/>
        <v>57.617910241617373</v>
      </c>
      <c r="U193" s="17">
        <f t="shared" si="135"/>
        <v>5.7010498406551129</v>
      </c>
      <c r="V193" s="17">
        <f t="shared" si="135"/>
        <v>4.6442934296349563</v>
      </c>
      <c r="W193" s="17">
        <f t="shared" si="135"/>
        <v>14.429738123147212</v>
      </c>
      <c r="X193" s="17">
        <f t="shared" si="135"/>
        <v>7.0805734593096297</v>
      </c>
      <c r="Y193" s="50">
        <f t="shared" si="137"/>
        <v>-1.5958712659782037</v>
      </c>
      <c r="Z193" s="84">
        <f t="shared" si="114"/>
        <v>2.7030813590555733</v>
      </c>
      <c r="AA193" s="5"/>
      <c r="AB193" s="5">
        <f t="shared" si="136"/>
        <v>0</v>
      </c>
    </row>
    <row r="194" spans="1:28" ht="13.5" customHeight="1">
      <c r="A194" s="17">
        <f t="shared" si="115"/>
        <v>380</v>
      </c>
      <c r="B194" s="5">
        <f t="shared" si="119"/>
        <v>20.949329481294537</v>
      </c>
      <c r="D194" s="64">
        <f t="shared" si="130"/>
        <v>2.5555796371448913</v>
      </c>
      <c r="E194" s="54">
        <f t="shared" ref="E194:E242" si="138">0.0001*SUM(G194:K194)</f>
        <v>7.7960925585582692E-3</v>
      </c>
      <c r="F194" s="63">
        <f t="shared" si="112"/>
        <v>2.5633757297034494</v>
      </c>
      <c r="G194" s="17">
        <f t="shared" si="134"/>
        <v>6.7735896759537724</v>
      </c>
      <c r="H194" s="17">
        <f t="shared" si="134"/>
        <v>10.377836770260668</v>
      </c>
      <c r="I194" s="17">
        <f t="shared" si="134"/>
        <v>14.801054117281138</v>
      </c>
      <c r="J194" s="17">
        <f t="shared" si="134"/>
        <v>20.043447566036178</v>
      </c>
      <c r="K194" s="17">
        <f t="shared" si="134"/>
        <v>25.964997456050931</v>
      </c>
      <c r="L194" s="63">
        <f t="shared" si="131"/>
        <v>1.2431994611654336</v>
      </c>
      <c r="M194" s="17">
        <f t="shared" si="135"/>
        <v>9301.4102408250019</v>
      </c>
      <c r="N194" s="17">
        <f t="shared" si="135"/>
        <v>2907.2928615582273</v>
      </c>
      <c r="O194" s="17">
        <f t="shared" si="135"/>
        <v>186.4044700769509</v>
      </c>
      <c r="P194" s="17">
        <f t="shared" si="135"/>
        <v>237.54248663110459</v>
      </c>
      <c r="Q194" s="17">
        <f t="shared" si="135"/>
        <v>323.01797996511948</v>
      </c>
      <c r="R194" s="17">
        <f t="shared" si="135"/>
        <v>50.662433221968925</v>
      </c>
      <c r="S194" s="17">
        <f t="shared" si="135"/>
        <v>25.160644057099333</v>
      </c>
      <c r="T194" s="17">
        <f t="shared" si="135"/>
        <v>59.72074008326252</v>
      </c>
      <c r="U194" s="17">
        <f t="shared" si="135"/>
        <v>5.8589280829837476</v>
      </c>
      <c r="V194" s="17">
        <f t="shared" si="135"/>
        <v>4.7643435018077271</v>
      </c>
      <c r="W194" s="17">
        <f t="shared" si="135"/>
        <v>14.75367822935188</v>
      </c>
      <c r="X194" s="17">
        <f t="shared" si="135"/>
        <v>7.2129535616962652</v>
      </c>
      <c r="Y194" s="50">
        <f t="shared" si="137"/>
        <v>-1.3658469741958834</v>
      </c>
      <c r="Z194" s="84">
        <f t="shared" si="114"/>
        <v>2.558084712742636</v>
      </c>
      <c r="AA194" s="5"/>
      <c r="AB194" s="5">
        <f t="shared" si="136"/>
        <v>0</v>
      </c>
    </row>
    <row r="195" spans="1:28" ht="13.5" customHeight="1">
      <c r="A195" s="17">
        <f t="shared" si="115"/>
        <v>390</v>
      </c>
      <c r="B195" s="5">
        <f t="shared" si="119"/>
        <v>21.484422170432193</v>
      </c>
      <c r="D195" s="64">
        <f t="shared" si="130"/>
        <v>2.4300954917787312</v>
      </c>
      <c r="E195" s="54">
        <f t="shared" si="138"/>
        <v>7.1830619803808417E-3</v>
      </c>
      <c r="F195" s="63">
        <f t="shared" si="112"/>
        <v>2.437278553759112</v>
      </c>
      <c r="G195" s="17">
        <f t="shared" si="134"/>
        <v>6.2373615360719974</v>
      </c>
      <c r="H195" s="17">
        <f t="shared" si="134"/>
        <v>9.5577381264215866</v>
      </c>
      <c r="I195" s="17">
        <f t="shared" si="134"/>
        <v>13.634244924473412</v>
      </c>
      <c r="J195" s="17">
        <f t="shared" si="134"/>
        <v>18.468383807081818</v>
      </c>
      <c r="K195" s="17">
        <f t="shared" si="134"/>
        <v>23.932891409759605</v>
      </c>
      <c r="L195" s="63">
        <f t="shared" si="131"/>
        <v>1.1590592104559583</v>
      </c>
      <c r="M195" s="17">
        <f t="shared" si="135"/>
        <v>8457.2902937741801</v>
      </c>
      <c r="N195" s="17">
        <f t="shared" si="135"/>
        <v>3269.5374315663112</v>
      </c>
      <c r="O195" s="17">
        <f t="shared" si="135"/>
        <v>204.87351932308081</v>
      </c>
      <c r="P195" s="17">
        <f t="shared" si="135"/>
        <v>258.72655063595613</v>
      </c>
      <c r="Q195" s="17">
        <f t="shared" si="135"/>
        <v>345.10598367324195</v>
      </c>
      <c r="R195" s="17">
        <f t="shared" si="135"/>
        <v>53.24646654347454</v>
      </c>
      <c r="S195" s="17">
        <f t="shared" si="135"/>
        <v>26.307024669672348</v>
      </c>
      <c r="T195" s="17">
        <f t="shared" si="135"/>
        <v>61.928225444714919</v>
      </c>
      <c r="U195" s="17">
        <f t="shared" si="135"/>
        <v>6.0226747947146224</v>
      </c>
      <c r="V195" s="17">
        <f t="shared" si="135"/>
        <v>4.8885576656387419</v>
      </c>
      <c r="W195" s="17">
        <f t="shared" si="135"/>
        <v>15.087434273616033</v>
      </c>
      <c r="X195" s="17">
        <f t="shared" si="135"/>
        <v>7.3486508631280332</v>
      </c>
      <c r="Y195" s="50">
        <f t="shared" si="137"/>
        <v>-1.1516505541977873</v>
      </c>
      <c r="Z195" s="84">
        <f t="shared" si="114"/>
        <v>2.4356907493789168</v>
      </c>
      <c r="AA195" s="5"/>
      <c r="AB195" s="5">
        <f t="shared" si="136"/>
        <v>0</v>
      </c>
    </row>
    <row r="196" spans="1:28" ht="13.5" customHeight="1">
      <c r="A196" s="17">
        <f t="shared" si="115"/>
        <v>400</v>
      </c>
      <c r="B196" s="5">
        <f t="shared" si="119"/>
        <v>21.964579924524873</v>
      </c>
      <c r="D196" s="64">
        <f t="shared" si="130"/>
        <v>2.3252495263053339</v>
      </c>
      <c r="E196" s="54">
        <f t="shared" si="138"/>
        <v>6.6332730987621307E-3</v>
      </c>
      <c r="F196" s="63">
        <f t="shared" si="112"/>
        <v>2.331882799404096</v>
      </c>
      <c r="G196" s="17">
        <f t="shared" ref="G196:K205" si="139">200*PI()*G$50*((G$24-$A196)*(ASINH(G$32/MAX(ABS(G$24-$A196),0.000001))-ASINH(G$28/MAX(ABS(G$24-$A196),0.000001)))-(G$22-$A196)*(ASINH(G$32/MAX(ABS(G$22-$A196),0.000001))-ASINH(G$28/MAX(ABS(G$22-$A196),0.000001))))</f>
        <v>5.7569149389397012</v>
      </c>
      <c r="H196" s="17">
        <f t="shared" si="139"/>
        <v>8.8227632284929864</v>
      </c>
      <c r="I196" s="17">
        <f t="shared" si="139"/>
        <v>12.588183691987442</v>
      </c>
      <c r="J196" s="17">
        <f t="shared" si="139"/>
        <v>17.055674400083706</v>
      </c>
      <c r="K196" s="17">
        <f t="shared" si="139"/>
        <v>22.109194728117476</v>
      </c>
      <c r="L196" s="63">
        <f t="shared" si="131"/>
        <v>1.082059159460026</v>
      </c>
      <c r="M196" s="17">
        <f t="shared" ref="M196:X205" si="140">200*PI()*M$50*((M$24-$A196)*(ASINH(M$32/MAX(ABS(M$24-$A196),0.000001))-ASINH(M$28/MAX(ABS(M$24-$A196),0.000001)))-(M$22-$A196)*(ASINH(M$32/MAX(ABS(M$22-$A196),0.000001))-ASINH(M$28/MAX(ABS(M$22-$A196),0.000001))))</f>
        <v>7700.5363286436432</v>
      </c>
      <c r="N196" s="17">
        <f t="shared" si="140"/>
        <v>3672.1433073706489</v>
      </c>
      <c r="O196" s="17">
        <f t="shared" si="140"/>
        <v>225.7006861801176</v>
      </c>
      <c r="P196" s="17">
        <f t="shared" si="140"/>
        <v>282.38656382018638</v>
      </c>
      <c r="Q196" s="17">
        <f t="shared" si="140"/>
        <v>369.23048132711176</v>
      </c>
      <c r="R196" s="17">
        <f t="shared" si="140"/>
        <v>56.006845875375546</v>
      </c>
      <c r="S196" s="17">
        <f t="shared" si="140"/>
        <v>27.523600645038783</v>
      </c>
      <c r="T196" s="17">
        <f t="shared" si="140"/>
        <v>64.247020077114684</v>
      </c>
      <c r="U196" s="17">
        <f t="shared" si="140"/>
        <v>6.1925644642862023</v>
      </c>
      <c r="V196" s="17">
        <f t="shared" si="140"/>
        <v>5.0171176264784654</v>
      </c>
      <c r="W196" s="17">
        <f t="shared" si="140"/>
        <v>15.431382618035922</v>
      </c>
      <c r="X196" s="17">
        <f t="shared" si="140"/>
        <v>7.4877698050385657</v>
      </c>
      <c r="Y196" s="50">
        <f t="shared" si="137"/>
        <v>-0.95313806108781929</v>
      </c>
      <c r="Z196" s="84">
        <f t="shared" si="114"/>
        <v>2.3337077001158812</v>
      </c>
      <c r="AA196" s="5"/>
      <c r="AB196" s="5">
        <f t="shared" si="136"/>
        <v>0</v>
      </c>
    </row>
    <row r="197" spans="1:28" ht="13.5" customHeight="1">
      <c r="A197" s="17">
        <f t="shared" si="115"/>
        <v>410</v>
      </c>
      <c r="B197" s="5">
        <f t="shared" si="119"/>
        <v>22.382542840343021</v>
      </c>
      <c r="D197" s="64">
        <f t="shared" si="130"/>
        <v>2.2394678795611673</v>
      </c>
      <c r="E197" s="54">
        <f t="shared" si="138"/>
        <v>6.1387079229023242E-3</v>
      </c>
      <c r="F197" s="63">
        <f t="shared" ref="F197:F260" si="141">D197+E197</f>
        <v>2.2456065874840698</v>
      </c>
      <c r="G197" s="17">
        <f t="shared" si="139"/>
        <v>5.3251076091104963</v>
      </c>
      <c r="H197" s="17">
        <f t="shared" si="139"/>
        <v>8.1620412418371977</v>
      </c>
      <c r="I197" s="17">
        <f t="shared" si="139"/>
        <v>11.647505025026469</v>
      </c>
      <c r="J197" s="17">
        <f t="shared" si="139"/>
        <v>15.784756109823556</v>
      </c>
      <c r="K197" s="17">
        <f t="shared" si="139"/>
        <v>20.467669243225515</v>
      </c>
      <c r="L197" s="63">
        <f t="shared" si="131"/>
        <v>1.0114990974782612</v>
      </c>
      <c r="M197" s="17">
        <f t="shared" si="140"/>
        <v>7021.9922547573515</v>
      </c>
      <c r="N197" s="17">
        <f t="shared" si="140"/>
        <v>4114.5579845136263</v>
      </c>
      <c r="O197" s="17">
        <f t="shared" si="140"/>
        <v>249.24213070939174</v>
      </c>
      <c r="P197" s="17">
        <f t="shared" si="140"/>
        <v>308.87388289682769</v>
      </c>
      <c r="Q197" s="17">
        <f t="shared" si="140"/>
        <v>395.62739585894667</v>
      </c>
      <c r="R197" s="17">
        <f t="shared" si="140"/>
        <v>58.958652442337225</v>
      </c>
      <c r="S197" s="17">
        <f t="shared" si="140"/>
        <v>28.815785937818802</v>
      </c>
      <c r="T197" s="17">
        <f t="shared" si="140"/>
        <v>66.684296010796942</v>
      </c>
      <c r="U197" s="17">
        <f t="shared" si="140"/>
        <v>6.3688870955701855</v>
      </c>
      <c r="V197" s="17">
        <f t="shared" si="140"/>
        <v>5.1502146628114573</v>
      </c>
      <c r="W197" s="17">
        <f t="shared" si="140"/>
        <v>15.785917143991508</v>
      </c>
      <c r="X197" s="17">
        <f t="shared" si="140"/>
        <v>7.630418799589922</v>
      </c>
      <c r="Y197" s="50">
        <f t="shared" si="137"/>
        <v>-0.77072270213454308</v>
      </c>
      <c r="Z197" s="84">
        <f t="shared" si="114"/>
        <v>2.2497327299380032</v>
      </c>
      <c r="AA197" s="5"/>
      <c r="AB197" s="5">
        <f t="shared" si="136"/>
        <v>0</v>
      </c>
    </row>
    <row r="198" spans="1:28" ht="13.5" customHeight="1">
      <c r="A198" s="17">
        <f t="shared" si="115"/>
        <v>420</v>
      </c>
      <c r="B198" s="5">
        <f t="shared" si="119"/>
        <v>22.733549155539396</v>
      </c>
      <c r="D198" s="64">
        <f t="shared" si="130"/>
        <v>2.1711049858784253</v>
      </c>
      <c r="E198" s="54">
        <f t="shared" si="138"/>
        <v>5.6925469123414061E-3</v>
      </c>
      <c r="F198" s="63">
        <f t="shared" si="141"/>
        <v>2.1767975327907667</v>
      </c>
      <c r="G198" s="17">
        <f t="shared" si="139"/>
        <v>4.9358769771822484</v>
      </c>
      <c r="H198" s="17">
        <f t="shared" si="139"/>
        <v>7.566339765640234</v>
      </c>
      <c r="I198" s="17">
        <f t="shared" si="139"/>
        <v>10.799149896283152</v>
      </c>
      <c r="J198" s="17">
        <f t="shared" si="139"/>
        <v>14.63813563838551</v>
      </c>
      <c r="K198" s="17">
        <f t="shared" si="139"/>
        <v>18.985966845922913</v>
      </c>
      <c r="L198" s="63">
        <f t="shared" si="131"/>
        <v>0.94675297055270946</v>
      </c>
      <c r="M198" s="17">
        <f t="shared" si="140"/>
        <v>6413.2668551076385</v>
      </c>
      <c r="N198" s="17">
        <f t="shared" si="140"/>
        <v>4593.8546665648837</v>
      </c>
      <c r="O198" s="17">
        <f t="shared" si="140"/>
        <v>275.91255456842049</v>
      </c>
      <c r="P198" s="17">
        <f t="shared" si="140"/>
        <v>338.59677504207394</v>
      </c>
      <c r="Q198" s="17">
        <f t="shared" si="140"/>
        <v>424.56533404702049</v>
      </c>
      <c r="R198" s="17">
        <f t="shared" si="140"/>
        <v>62.118517016971474</v>
      </c>
      <c r="S198" s="17">
        <f t="shared" si="140"/>
        <v>30.189499234340811</v>
      </c>
      <c r="T198" s="17">
        <f t="shared" si="140"/>
        <v>69.247791581376418</v>
      </c>
      <c r="U198" s="17">
        <f t="shared" si="140"/>
        <v>6.5519492289207433</v>
      </c>
      <c r="V198" s="17">
        <f t="shared" si="140"/>
        <v>5.288050221717266</v>
      </c>
      <c r="W198" s="17">
        <f t="shared" si="140"/>
        <v>16.151450234282414</v>
      </c>
      <c r="X198" s="17">
        <f t="shared" si="140"/>
        <v>7.7767104095145569</v>
      </c>
      <c r="Y198" s="50">
        <f t="shared" si="137"/>
        <v>-0.6054015369170207</v>
      </c>
      <c r="Z198" s="84">
        <f t="shared" si="114"/>
        <v>2.1812166820001537</v>
      </c>
      <c r="AA198" s="5"/>
      <c r="AB198" s="5">
        <f t="shared" si="136"/>
        <v>0</v>
      </c>
    </row>
    <row r="199" spans="1:28" ht="13.5" customHeight="1">
      <c r="A199" s="17">
        <f t="shared" si="115"/>
        <v>430</v>
      </c>
      <c r="B199" s="5">
        <f t="shared" si="119"/>
        <v>23.016118076899364</v>
      </c>
      <c r="D199" s="64">
        <f t="shared" si="130"/>
        <v>2.1183875721777632</v>
      </c>
      <c r="E199" s="54">
        <f t="shared" si="138"/>
        <v>5.2889637882677053E-3</v>
      </c>
      <c r="F199" s="63">
        <f t="shared" si="141"/>
        <v>2.1236765359660308</v>
      </c>
      <c r="G199" s="17">
        <f t="shared" si="139"/>
        <v>4.5840529624132804</v>
      </c>
      <c r="H199" s="17">
        <f t="shared" si="139"/>
        <v>7.0277816885832234</v>
      </c>
      <c r="I199" s="17">
        <f t="shared" si="139"/>
        <v>10.031968907337133</v>
      </c>
      <c r="J199" s="17">
        <f t="shared" si="139"/>
        <v>13.600864743144125</v>
      </c>
      <c r="K199" s="17">
        <f t="shared" si="139"/>
        <v>17.644969581199287</v>
      </c>
      <c r="L199" s="63">
        <f t="shared" si="131"/>
        <v>0.88726108023731387</v>
      </c>
      <c r="M199" s="17">
        <f t="shared" si="140"/>
        <v>5866.7517147759481</v>
      </c>
      <c r="N199" s="17">
        <f t="shared" si="140"/>
        <v>5104.2079109758897</v>
      </c>
      <c r="O199" s="17">
        <f t="shared" si="140"/>
        <v>306.19431204294818</v>
      </c>
      <c r="P199" s="17">
        <f t="shared" si="140"/>
        <v>372.03022330731767</v>
      </c>
      <c r="Q199" s="17">
        <f t="shared" si="140"/>
        <v>456.35078198809254</v>
      </c>
      <c r="R199" s="17">
        <f t="shared" si="140"/>
        <v>65.504805546523244</v>
      </c>
      <c r="S199" s="17">
        <f t="shared" si="140"/>
        <v>31.6512192217888</v>
      </c>
      <c r="T199" s="17">
        <f t="shared" si="140"/>
        <v>71.945864646113634</v>
      </c>
      <c r="U199" s="17">
        <f t="shared" si="140"/>
        <v>6.7420750540783168</v>
      </c>
      <c r="V199" s="17">
        <f t="shared" si="140"/>
        <v>5.4308365550130535</v>
      </c>
      <c r="W199" s="17">
        <f t="shared" si="140"/>
        <v>16.528413776297555</v>
      </c>
      <c r="X199" s="17">
        <f t="shared" si="140"/>
        <v>7.9267615144796721</v>
      </c>
      <c r="Y199" s="50">
        <f t="shared" si="137"/>
        <v>-0.45861805491948626</v>
      </c>
      <c r="Z199" s="84">
        <f t="shared" si="114"/>
        <v>2.1257089563123732</v>
      </c>
      <c r="AA199" s="5"/>
      <c r="AB199" s="5">
        <f t="shared" si="136"/>
        <v>-0.41124278222367944</v>
      </c>
    </row>
    <row r="200" spans="1:28" ht="13.5" customHeight="1">
      <c r="A200" s="17">
        <f t="shared" si="115"/>
        <v>440</v>
      </c>
      <c r="B200" s="5">
        <f t="shared" si="119"/>
        <v>23.232486601998684</v>
      </c>
      <c r="D200" s="64">
        <f t="shared" ref="D200:D231" si="142">L200+0.0001*SUM(M200:X200)</f>
        <v>2.079381374894528</v>
      </c>
      <c r="E200" s="54">
        <f t="shared" si="138"/>
        <v>4.9229597432984039E-3</v>
      </c>
      <c r="F200" s="63">
        <f t="shared" si="141"/>
        <v>2.0843043346378263</v>
      </c>
      <c r="G200" s="17">
        <f t="shared" si="139"/>
        <v>4.2652072085390467</v>
      </c>
      <c r="H200" s="17">
        <f t="shared" si="139"/>
        <v>6.5396169714056525</v>
      </c>
      <c r="I200" s="17">
        <f t="shared" si="139"/>
        <v>9.3364021204873051</v>
      </c>
      <c r="J200" s="17">
        <f t="shared" si="139"/>
        <v>12.660115978461844</v>
      </c>
      <c r="K200" s="17">
        <f t="shared" si="139"/>
        <v>16.428255154090184</v>
      </c>
      <c r="L200" s="63">
        <f t="shared" ref="L200:L231" si="143">0.02*PI()*L$50*((L$24-$A200)*(ASINH(L$32/MAX(ABS(L$24-$A200),0.000001))-ASINH(L$28/MAX(ABS(L$24-$A200),0.000001)))-(L$22-$A200)*(ASINH(L$32/MAX(ABS(L$22-$A200),0.000001))-ASINH(L$28/MAX(ABS(L$22-$A200),0.000001))))</f>
        <v>0.83252295586991631</v>
      </c>
      <c r="M200" s="17">
        <f t="shared" si="140"/>
        <v>5375.6027293812294</v>
      </c>
      <c r="N200" s="17">
        <f t="shared" si="140"/>
        <v>5636.622906716475</v>
      </c>
      <c r="O200" s="17">
        <f t="shared" si="140"/>
        <v>340.64725057690572</v>
      </c>
      <c r="P200" s="17">
        <f t="shared" si="140"/>
        <v>409.72730760213477</v>
      </c>
      <c r="Q200" s="17">
        <f t="shared" si="140"/>
        <v>491.33420862518807</v>
      </c>
      <c r="R200" s="17">
        <f t="shared" si="140"/>
        <v>69.137830116354735</v>
      </c>
      <c r="S200" s="17">
        <f t="shared" si="140"/>
        <v>33.208046823526601</v>
      </c>
      <c r="T200" s="17">
        <f t="shared" si="140"/>
        <v>74.787551611748015</v>
      </c>
      <c r="U200" s="17">
        <f t="shared" si="140"/>
        <v>6.9396075961617463</v>
      </c>
      <c r="V200" s="17">
        <f t="shared" si="140"/>
        <v>5.5787973961641084</v>
      </c>
      <c r="W200" s="17">
        <f t="shared" si="140"/>
        <v>16.91726027209155</v>
      </c>
      <c r="X200" s="17">
        <f t="shared" si="140"/>
        <v>8.0806935281362176</v>
      </c>
      <c r="Y200" s="50">
        <f t="shared" si="137"/>
        <v>-0.33195098792069944</v>
      </c>
      <c r="Z200" s="84">
        <f t="shared" si="114"/>
        <v>2.0813588503641318</v>
      </c>
      <c r="AA200" s="5"/>
      <c r="AB200" s="5">
        <f t="shared" si="136"/>
        <v>-1.0618625105471984</v>
      </c>
    </row>
    <row r="201" spans="1:28" ht="13.5" customHeight="1">
      <c r="A201" s="17">
        <f t="shared" si="115"/>
        <v>450</v>
      </c>
      <c r="B201" s="5">
        <f t="shared" si="119"/>
        <v>23.388515336677351</v>
      </c>
      <c r="D201" s="64">
        <f t="shared" si="142"/>
        <v>2.0519973745936233</v>
      </c>
      <c r="E201" s="54">
        <f t="shared" si="138"/>
        <v>4.590228701407374E-3</v>
      </c>
      <c r="F201" s="63">
        <f t="shared" si="141"/>
        <v>2.0565876032950308</v>
      </c>
      <c r="G201" s="17">
        <f t="shared" si="139"/>
        <v>3.9755309284369273</v>
      </c>
      <c r="H201" s="17">
        <f t="shared" si="139"/>
        <v>6.0960375873564185</v>
      </c>
      <c r="I201" s="17">
        <f t="shared" si="139"/>
        <v>8.7042191495880221</v>
      </c>
      <c r="J201" s="17">
        <f t="shared" si="139"/>
        <v>11.804837777358333</v>
      </c>
      <c r="K201" s="17">
        <f t="shared" si="139"/>
        <v>15.321661571334044</v>
      </c>
      <c r="L201" s="63">
        <f t="shared" si="143"/>
        <v>0.78209089944344778</v>
      </c>
      <c r="M201" s="17">
        <f t="shared" si="140"/>
        <v>4933.6994204704124</v>
      </c>
      <c r="N201" s="17">
        <f t="shared" si="140"/>
        <v>6179.0722740077863</v>
      </c>
      <c r="O201" s="17">
        <f t="shared" si="140"/>
        <v>379.91885331275159</v>
      </c>
      <c r="P201" s="17">
        <f t="shared" si="140"/>
        <v>452.33228909275988</v>
      </c>
      <c r="Q201" s="17">
        <f t="shared" si="140"/>
        <v>529.91724182246867</v>
      </c>
      <c r="R201" s="17">
        <f t="shared" si="140"/>
        <v>73.040089114115858</v>
      </c>
      <c r="S201" s="17">
        <f t="shared" si="140"/>
        <v>34.867775382665698</v>
      </c>
      <c r="T201" s="17">
        <f t="shared" si="140"/>
        <v>77.782633020698484</v>
      </c>
      <c r="U201" s="17">
        <f t="shared" si="140"/>
        <v>7.1449100088112809</v>
      </c>
      <c r="V201" s="17">
        <f t="shared" si="140"/>
        <v>5.7321686908703002</v>
      </c>
      <c r="W201" s="17">
        <f t="shared" si="140"/>
        <v>17.318463988043284</v>
      </c>
      <c r="X201" s="17">
        <f t="shared" si="140"/>
        <v>8.2386325903711821</v>
      </c>
      <c r="Y201" s="50">
        <f t="shared" si="137"/>
        <v>-0.22667424483643339</v>
      </c>
      <c r="Z201" s="84">
        <f t="shared" ref="Z201:Z264" si="144">Z$119*((Z$122-$A201)/SQRT(Z$120^2+(Z$122-$A201)^2)-(Z$121-$A201)/SQRT(Z$120^2+(Z$121-$A201)^2))+Z$123*((Z$126-$A201)/SQRT(Z$124^2+(Z$126-$A201)^2)-(Z$125-$A201)/SQRT(Z$124^2+(Z$125-$A201)^2))+Z$127*((Z$130-$A201)/SQRT(Z$128^2+(Z$130-$A201)^2)-(Z$129-$A201)/SQRT(Z$128^2+(Z$129-$A201)^2))+Z$131*((Z$134-$A201)/SQRT(Z$132^2+(Z$134-$A201)^2)-(Z$133-$A201)/SQRT(Z$132^2+(Z$133-$A201)^2))</f>
        <v>2.0476317972850362</v>
      </c>
      <c r="AA201" s="5"/>
      <c r="AB201" s="5">
        <f t="shared" si="136"/>
        <v>-1.0502625406376698</v>
      </c>
    </row>
    <row r="202" spans="1:28" ht="13.5" customHeight="1">
      <c r="A202" s="17">
        <f t="shared" ref="A202:A265" si="145">2*A201-A200</f>
        <v>460</v>
      </c>
      <c r="B202" s="5">
        <f t="shared" si="119"/>
        <v>23.493008312379867</v>
      </c>
      <c r="D202" s="64">
        <f t="shared" si="142"/>
        <v>2.0340465259272413</v>
      </c>
      <c r="E202" s="54">
        <f t="shared" si="138"/>
        <v>4.2870472087376049E-3</v>
      </c>
      <c r="F202" s="63">
        <f t="shared" si="141"/>
        <v>2.0383335731359788</v>
      </c>
      <c r="G202" s="17">
        <f t="shared" si="139"/>
        <v>3.7117353633735743</v>
      </c>
      <c r="H202" s="17">
        <f t="shared" si="139"/>
        <v>5.6920266046806871</v>
      </c>
      <c r="I202" s="17">
        <f t="shared" si="139"/>
        <v>8.1283069815011153</v>
      </c>
      <c r="J202" s="17">
        <f t="shared" si="139"/>
        <v>11.02547249671456</v>
      </c>
      <c r="K202" s="17">
        <f t="shared" si="139"/>
        <v>14.312930641106112</v>
      </c>
      <c r="L202" s="63">
        <f t="shared" si="143"/>
        <v>0.73556417834275822</v>
      </c>
      <c r="M202" s="17">
        <f t="shared" si="140"/>
        <v>4535.5919962994349</v>
      </c>
      <c r="N202" s="17">
        <f t="shared" si="140"/>
        <v>6717.1210300835955</v>
      </c>
      <c r="O202" s="17">
        <f t="shared" si="140"/>
        <v>424.75387797023836</v>
      </c>
      <c r="P202" s="17">
        <f t="shared" si="140"/>
        <v>500.59544693177025</v>
      </c>
      <c r="Q202" s="17">
        <f t="shared" si="140"/>
        <v>572.561108695955</v>
      </c>
      <c r="R202" s="17">
        <f t="shared" si="140"/>
        <v>77.236541101131763</v>
      </c>
      <c r="S202" s="17">
        <f t="shared" si="140"/>
        <v>36.638969939775606</v>
      </c>
      <c r="T202" s="17">
        <f t="shared" si="140"/>
        <v>80.94170650646916</v>
      </c>
      <c r="U202" s="17">
        <f t="shared" si="140"/>
        <v>7.3583669585448286</v>
      </c>
      <c r="V202" s="17">
        <f t="shared" si="140"/>
        <v>5.8911993796294437</v>
      </c>
      <c r="W202" s="17">
        <f t="shared" si="140"/>
        <v>17.732522190014279</v>
      </c>
      <c r="X202" s="17">
        <f t="shared" si="140"/>
        <v>8.4007097882716142</v>
      </c>
      <c r="Y202" s="50">
        <f t="shared" si="137"/>
        <v>-0.14329629391679033</v>
      </c>
      <c r="Z202" s="84">
        <f t="shared" si="144"/>
        <v>2.0257957149627921</v>
      </c>
      <c r="AA202" s="5"/>
      <c r="AB202" s="5">
        <f t="shared" si="136"/>
        <v>-0.59534740727586744</v>
      </c>
    </row>
    <row r="203" spans="1:28" ht="13.5" customHeight="1">
      <c r="A203" s="17">
        <f t="shared" si="145"/>
        <v>470</v>
      </c>
      <c r="B203" s="5">
        <f t="shared" si="119"/>
        <v>23.556571258507244</v>
      </c>
      <c r="D203" s="64">
        <f t="shared" si="142"/>
        <v>2.0233381158102652</v>
      </c>
      <c r="E203" s="54">
        <f t="shared" si="138"/>
        <v>4.0101839799220346E-3</v>
      </c>
      <c r="F203" s="63">
        <f t="shared" si="141"/>
        <v>2.0273482997901873</v>
      </c>
      <c r="G203" s="17">
        <f t="shared" si="139"/>
        <v>3.4709702205292485</v>
      </c>
      <c r="H203" s="17">
        <f t="shared" si="139"/>
        <v>5.3232344436741181</v>
      </c>
      <c r="I203" s="17">
        <f t="shared" si="139"/>
        <v>7.6024958412000547</v>
      </c>
      <c r="J203" s="17">
        <f t="shared" si="139"/>
        <v>10.313724729892249</v>
      </c>
      <c r="K203" s="17">
        <f t="shared" si="139"/>
        <v>13.391414563924668</v>
      </c>
      <c r="L203" s="63">
        <f t="shared" si="143"/>
        <v>0.69258382707523536</v>
      </c>
      <c r="M203" s="17">
        <f t="shared" si="140"/>
        <v>4176.4429065060276</v>
      </c>
      <c r="N203" s="17">
        <f t="shared" si="140"/>
        <v>7234.9859552546686</v>
      </c>
      <c r="O203" s="17">
        <f t="shared" si="140"/>
        <v>476.0020996886393</v>
      </c>
      <c r="P203" s="17">
        <f t="shared" si="140"/>
        <v>555.38956562402461</v>
      </c>
      <c r="Q203" s="17">
        <f t="shared" si="140"/>
        <v>619.7965613434842</v>
      </c>
      <c r="R203" s="17">
        <f t="shared" si="140"/>
        <v>81.754917663608694</v>
      </c>
      <c r="S203" s="17">
        <f t="shared" si="140"/>
        <v>38.531056954264791</v>
      </c>
      <c r="T203" s="17">
        <f t="shared" si="140"/>
        <v>84.276268093790932</v>
      </c>
      <c r="U203" s="17">
        <f t="shared" si="140"/>
        <v>7.5803861223003439</v>
      </c>
      <c r="V203" s="17">
        <f t="shared" si="140"/>
        <v>6.0561522409355772</v>
      </c>
      <c r="W203" s="17">
        <f t="shared" si="140"/>
        <v>18.159956472563266</v>
      </c>
      <c r="X203" s="17">
        <f t="shared" si="140"/>
        <v>8.5670613859907636</v>
      </c>
      <c r="Y203" s="50">
        <f t="shared" si="137"/>
        <v>-8.1222849785682616E-2</v>
      </c>
      <c r="Z203" s="84">
        <f t="shared" si="144"/>
        <v>2.0178484040952962</v>
      </c>
      <c r="AA203" s="5"/>
      <c r="AB203" s="5">
        <f t="shared" si="136"/>
        <v>0</v>
      </c>
    </row>
    <row r="204" spans="1:28" ht="13.5" customHeight="1">
      <c r="A204" s="17">
        <f t="shared" si="145"/>
        <v>480</v>
      </c>
      <c r="B204" s="5">
        <f t="shared" si="119"/>
        <v>23.590278836808778</v>
      </c>
      <c r="D204" s="64">
        <f t="shared" si="142"/>
        <v>2.0178019559701048</v>
      </c>
      <c r="E204" s="54">
        <f t="shared" si="138"/>
        <v>3.7568252231621013E-3</v>
      </c>
      <c r="F204" s="63">
        <f t="shared" si="141"/>
        <v>2.0215587811932667</v>
      </c>
      <c r="G204" s="17">
        <f t="shared" si="139"/>
        <v>3.250756499208471</v>
      </c>
      <c r="H204" s="17">
        <f t="shared" si="139"/>
        <v>4.9858768988059632</v>
      </c>
      <c r="I204" s="17">
        <f t="shared" si="139"/>
        <v>7.1214155592409867</v>
      </c>
      <c r="J204" s="17">
        <f t="shared" si="139"/>
        <v>9.662369986175964</v>
      </c>
      <c r="K204" s="17">
        <f t="shared" si="139"/>
        <v>12.547833288189624</v>
      </c>
      <c r="L204" s="63">
        <f t="shared" si="143"/>
        <v>0.65282801165491688</v>
      </c>
      <c r="M204" s="17">
        <f t="shared" si="140"/>
        <v>3851.9673247517703</v>
      </c>
      <c r="N204" s="17">
        <f t="shared" si="140"/>
        <v>7716.8298295610566</v>
      </c>
      <c r="O204" s="17">
        <f t="shared" si="140"/>
        <v>534.62188404761673</v>
      </c>
      <c r="P204" s="17">
        <f t="shared" si="140"/>
        <v>617.72770749083054</v>
      </c>
      <c r="Q204" s="17">
        <f t="shared" si="140"/>
        <v>672.23553915046386</v>
      </c>
      <c r="R204" s="17">
        <f t="shared" si="140"/>
        <v>86.626081435326796</v>
      </c>
      <c r="S204" s="17">
        <f t="shared" si="140"/>
        <v>40.55442600751735</v>
      </c>
      <c r="T204" s="17">
        <f t="shared" si="140"/>
        <v>87.798802910432684</v>
      </c>
      <c r="U204" s="17">
        <f t="shared" si="140"/>
        <v>7.8113997991311628</v>
      </c>
      <c r="V204" s="17">
        <f t="shared" si="140"/>
        <v>6.2273047888758972</v>
      </c>
      <c r="W204" s="17">
        <f t="shared" si="140"/>
        <v>18.601314155862287</v>
      </c>
      <c r="X204" s="17">
        <f t="shared" si="140"/>
        <v>8.7378290529965223</v>
      </c>
      <c r="Y204" s="50">
        <f t="shared" si="137"/>
        <v>-3.866144446766473E-2</v>
      </c>
      <c r="Z204" s="84">
        <f t="shared" si="144"/>
        <v>2.0221771132784507</v>
      </c>
      <c r="AA204" s="5"/>
      <c r="AB204" s="5">
        <f t="shared" si="136"/>
        <v>0</v>
      </c>
    </row>
    <row r="205" spans="1:28" ht="13.5" customHeight="1">
      <c r="A205" s="17">
        <f t="shared" si="145"/>
        <v>490</v>
      </c>
      <c r="B205" s="5">
        <f t="shared" si="119"/>
        <v>23.604460783842892</v>
      </c>
      <c r="D205" s="64">
        <f t="shared" si="142"/>
        <v>2.0156058269167323</v>
      </c>
      <c r="E205" s="54">
        <f t="shared" si="138"/>
        <v>3.5245127011089283E-3</v>
      </c>
      <c r="F205" s="63">
        <f t="shared" si="141"/>
        <v>2.0191303396178411</v>
      </c>
      <c r="G205" s="17">
        <f t="shared" si="139"/>
        <v>3.0489308981606511</v>
      </c>
      <c r="H205" s="17">
        <f t="shared" si="139"/>
        <v>4.6766506914250927</v>
      </c>
      <c r="I205" s="17">
        <f t="shared" si="139"/>
        <v>6.6803765349014439</v>
      </c>
      <c r="J205" s="17">
        <f t="shared" si="139"/>
        <v>9.0650959595667917</v>
      </c>
      <c r="K205" s="17">
        <f t="shared" si="139"/>
        <v>11.774072927035299</v>
      </c>
      <c r="L205" s="63">
        <f t="shared" si="143"/>
        <v>0.61600790731919952</v>
      </c>
      <c r="M205" s="17">
        <f t="shared" si="140"/>
        <v>3558.3753506492135</v>
      </c>
      <c r="N205" s="17">
        <f t="shared" si="140"/>
        <v>8148.0064784124206</v>
      </c>
      <c r="O205" s="17">
        <f t="shared" si="140"/>
        <v>601.67603830787505</v>
      </c>
      <c r="P205" s="17">
        <f t="shared" si="140"/>
        <v>688.78146662276379</v>
      </c>
      <c r="Q205" s="17">
        <f t="shared" si="140"/>
        <v>730.58484676006594</v>
      </c>
      <c r="R205" s="17">
        <f t="shared" si="140"/>
        <v>91.884436519331416</v>
      </c>
      <c r="S205" s="17">
        <f t="shared" si="140"/>
        <v>42.720545299386188</v>
      </c>
      <c r="T205" s="17">
        <f t="shared" si="140"/>
        <v>91.522886570137985</v>
      </c>
      <c r="U205" s="17">
        <f t="shared" si="140"/>
        <v>8.0518666663358385</v>
      </c>
      <c r="V205" s="17">
        <f t="shared" si="140"/>
        <v>6.4049502482862195</v>
      </c>
      <c r="W205" s="17">
        <f t="shared" si="140"/>
        <v>19.057169786551082</v>
      </c>
      <c r="X205" s="17">
        <f t="shared" si="140"/>
        <v>8.9131601329585273</v>
      </c>
      <c r="Y205" s="50">
        <f t="shared" si="137"/>
        <v>-1.2801240726483254E-2</v>
      </c>
      <c r="Z205" s="84">
        <f t="shared" si="144"/>
        <v>2.0285408557730507</v>
      </c>
      <c r="AA205" s="5"/>
      <c r="AB205" s="5">
        <f t="shared" si="136"/>
        <v>0</v>
      </c>
    </row>
    <row r="206" spans="1:28" ht="13.5" customHeight="1">
      <c r="A206" s="17">
        <f t="shared" si="145"/>
        <v>500</v>
      </c>
      <c r="B206" s="5">
        <f t="shared" ref="B206:B269" si="146">B$136*SQRT(B$135/F206)</f>
        <v>23.607837345875733</v>
      </c>
      <c r="D206" s="64">
        <f t="shared" si="142"/>
        <v>2.0152417078248082</v>
      </c>
      <c r="E206" s="54">
        <f t="shared" si="138"/>
        <v>3.3110921239197541E-3</v>
      </c>
      <c r="F206" s="63">
        <f t="shared" si="141"/>
        <v>2.0185527999487278</v>
      </c>
      <c r="G206" s="17">
        <f t="shared" ref="G206:K215" si="147">200*PI()*G$50*((G$24-$A206)*(ASINH(G$32/MAX(ABS(G$24-$A206),0.000001))-ASINH(G$28/MAX(ABS(G$24-$A206),0.000001)))-(G$22-$A206)*(ASINH(G$32/MAX(ABS(G$22-$A206),0.000001))-ASINH(G$28/MAX(ABS(G$22-$A206),0.000001))))</f>
        <v>2.863599589031772</v>
      </c>
      <c r="H206" s="17">
        <f t="shared" si="147"/>
        <v>4.3926632137298469</v>
      </c>
      <c r="I206" s="17">
        <f t="shared" si="147"/>
        <v>6.2752706305776842</v>
      </c>
      <c r="J206" s="17">
        <f t="shared" si="147"/>
        <v>8.5163702499399747</v>
      </c>
      <c r="K206" s="17">
        <f t="shared" si="147"/>
        <v>11.063017555918263</v>
      </c>
      <c r="L206" s="63">
        <f t="shared" si="143"/>
        <v>0.58186404020940929</v>
      </c>
      <c r="M206" s="17">
        <f t="shared" ref="M206:X215" si="148">200*PI()*M$50*((M$24-$A206)*(ASINH(M$32/MAX(ABS(M$24-$A206),0.000001))-ASINH(M$28/MAX(ABS(M$24-$A206),0.000001)))-(M$22-$A206)*(ASINH(M$32/MAX(ABS(M$22-$A206),0.000001))-ASINH(M$28/MAX(ABS(M$22-$A206),0.000001))))</f>
        <v>3292.3175805156902</v>
      </c>
      <c r="N206" s="17">
        <f t="shared" si="148"/>
        <v>8515.9973330130979</v>
      </c>
      <c r="O206" s="17">
        <f t="shared" si="148"/>
        <v>678.31461485425541</v>
      </c>
      <c r="P206" s="17">
        <f t="shared" si="148"/>
        <v>769.89820201515579</v>
      </c>
      <c r="Q206" s="17">
        <f t="shared" si="148"/>
        <v>795.66214730493027</v>
      </c>
      <c r="R206" s="17">
        <f t="shared" si="148"/>
        <v>97.568399833838626</v>
      </c>
      <c r="S206" s="17">
        <f t="shared" si="148"/>
        <v>45.042093056804504</v>
      </c>
      <c r="T206" s="17">
        <f t="shared" si="148"/>
        <v>95.46329866325172</v>
      </c>
      <c r="U206" s="17">
        <f t="shared" si="148"/>
        <v>8.3022736605909682</v>
      </c>
      <c r="V206" s="17">
        <f t="shared" si="148"/>
        <v>6.5893986015062849</v>
      </c>
      <c r="W206" s="17">
        <f t="shared" si="148"/>
        <v>19.528126737838125</v>
      </c>
      <c r="X206" s="17">
        <f t="shared" si="148"/>
        <v>9.0932078970278312</v>
      </c>
      <c r="Y206" s="79">
        <f t="shared" si="137"/>
        <v>-1.9875500807398083E-4</v>
      </c>
      <c r="Z206" s="84">
        <f t="shared" si="144"/>
        <v>2.0218269811569494</v>
      </c>
      <c r="AA206" s="78">
        <f t="shared" ref="AA206:AA237" si="149">$D$1</f>
        <v>2</v>
      </c>
      <c r="AB206" s="5">
        <f t="shared" ref="AB206:AB237" si="150">100*(1-D206/AA206)</f>
        <v>-0.76208539124040797</v>
      </c>
    </row>
    <row r="207" spans="1:28" ht="13.5" customHeight="1">
      <c r="A207" s="17">
        <f t="shared" si="145"/>
        <v>510</v>
      </c>
      <c r="B207" s="5">
        <f t="shared" si="146"/>
        <v>23.607089190258961</v>
      </c>
      <c r="D207" s="64">
        <f t="shared" si="142"/>
        <v>2.0155660759151175</v>
      </c>
      <c r="E207" s="54">
        <f t="shared" si="138"/>
        <v>3.1146699682701312E-3</v>
      </c>
      <c r="F207" s="63">
        <f t="shared" si="141"/>
        <v>2.0186807458833878</v>
      </c>
      <c r="G207" s="17">
        <f t="shared" si="147"/>
        <v>2.6930996130568063</v>
      </c>
      <c r="H207" s="17">
        <f t="shared" si="147"/>
        <v>4.1313738255849319</v>
      </c>
      <c r="I207" s="17">
        <f t="shared" si="147"/>
        <v>5.9024883046957193</v>
      </c>
      <c r="J207" s="17">
        <f t="shared" si="147"/>
        <v>8.0113296586149545</v>
      </c>
      <c r="K207" s="17">
        <f t="shared" si="147"/>
        <v>10.408408280748898</v>
      </c>
      <c r="L207" s="63">
        <f t="shared" si="143"/>
        <v>0.55016304544620875</v>
      </c>
      <c r="M207" s="17">
        <f t="shared" si="148"/>
        <v>3050.8349201724632</v>
      </c>
      <c r="N207" s="17">
        <f t="shared" si="148"/>
        <v>8810.9018480937593</v>
      </c>
      <c r="O207" s="17">
        <f t="shared" si="148"/>
        <v>765.73702270973683</v>
      </c>
      <c r="P207" s="17">
        <f t="shared" si="148"/>
        <v>862.61467133516635</v>
      </c>
      <c r="Q207" s="17">
        <f t="shared" si="148"/>
        <v>868.41457517355025</v>
      </c>
      <c r="R207" s="17">
        <f t="shared" si="148"/>
        <v>103.72094338945803</v>
      </c>
      <c r="S207" s="17">
        <f t="shared" si="148"/>
        <v>47.533107324873157</v>
      </c>
      <c r="T207" s="17">
        <f t="shared" si="148"/>
        <v>99.636150006700163</v>
      </c>
      <c r="U207" s="17">
        <f t="shared" si="148"/>
        <v>8.5631380344653714</v>
      </c>
      <c r="V207" s="17">
        <f t="shared" si="148"/>
        <v>6.7809777016616604</v>
      </c>
      <c r="W207" s="17">
        <f t="shared" si="148"/>
        <v>20.014818922666954</v>
      </c>
      <c r="X207" s="17">
        <f t="shared" si="148"/>
        <v>9.2781318245839266</v>
      </c>
      <c r="Y207" s="50">
        <f t="shared" si="137"/>
        <v>2.7643446238223568E-3</v>
      </c>
      <c r="Z207" s="84">
        <f t="shared" si="144"/>
        <v>1.9935635534647822</v>
      </c>
      <c r="AA207" s="89">
        <f t="shared" si="149"/>
        <v>2</v>
      </c>
      <c r="AB207" s="5">
        <f t="shared" si="150"/>
        <v>-0.77830379575587472</v>
      </c>
    </row>
    <row r="208" spans="1:28" ht="13.5" customHeight="1">
      <c r="A208" s="17">
        <f t="shared" si="145"/>
        <v>520</v>
      </c>
      <c r="B208" s="5">
        <f t="shared" si="146"/>
        <v>23.606811992710718</v>
      </c>
      <c r="D208" s="64">
        <f t="shared" si="142"/>
        <v>2.0157945767495726</v>
      </c>
      <c r="E208" s="54">
        <f t="shared" si="138"/>
        <v>2.9335771988213007E-3</v>
      </c>
      <c r="F208" s="63">
        <f t="shared" si="141"/>
        <v>2.0187281539483939</v>
      </c>
      <c r="G208" s="17">
        <f t="shared" si="147"/>
        <v>2.5359665031288432</v>
      </c>
      <c r="H208" s="17">
        <f t="shared" si="147"/>
        <v>3.8905446003989521</v>
      </c>
      <c r="I208" s="17">
        <f t="shared" si="147"/>
        <v>5.558849038901764</v>
      </c>
      <c r="J208" s="17">
        <f t="shared" si="147"/>
        <v>7.5456871623443451</v>
      </c>
      <c r="K208" s="17">
        <f t="shared" si="147"/>
        <v>9.8047246834390993</v>
      </c>
      <c r="L208" s="63">
        <f t="shared" si="143"/>
        <v>0.52069479691298903</v>
      </c>
      <c r="M208" s="17">
        <f t="shared" si="148"/>
        <v>2831.312998374794</v>
      </c>
      <c r="N208" s="17">
        <f t="shared" si="148"/>
        <v>9025.4991655858266</v>
      </c>
      <c r="O208" s="17">
        <f t="shared" si="148"/>
        <v>865.12304486714595</v>
      </c>
      <c r="P208" s="17">
        <f t="shared" si="148"/>
        <v>968.66288576103534</v>
      </c>
      <c r="Q208" s="17">
        <f t="shared" si="148"/>
        <v>949.94024728595866</v>
      </c>
      <c r="R208" s="17">
        <f t="shared" si="148"/>
        <v>110.39021929635372</v>
      </c>
      <c r="S208" s="17">
        <f t="shared" si="148"/>
        <v>50.209157041313787</v>
      </c>
      <c r="T208" s="17">
        <f t="shared" si="148"/>
        <v>104.05902556617147</v>
      </c>
      <c r="U208" s="17">
        <f t="shared" si="148"/>
        <v>8.8350095605371397</v>
      </c>
      <c r="V208" s="17">
        <f t="shared" si="148"/>
        <v>6.9800344979161277</v>
      </c>
      <c r="W208" s="17">
        <f t="shared" si="148"/>
        <v>20.517912617845521</v>
      </c>
      <c r="X208" s="17">
        <f t="shared" si="148"/>
        <v>9.4680979109370007</v>
      </c>
      <c r="Y208" s="50">
        <f t="shared" si="137"/>
        <v>-5.1654288739211296E-4</v>
      </c>
      <c r="Z208" s="84">
        <f t="shared" si="144"/>
        <v>1.9455901280073755</v>
      </c>
      <c r="AA208" s="89">
        <f t="shared" si="149"/>
        <v>2</v>
      </c>
      <c r="AB208" s="5">
        <f t="shared" si="150"/>
        <v>-0.78972883747863154</v>
      </c>
    </row>
    <row r="209" spans="1:28" ht="13.5" customHeight="1">
      <c r="A209" s="17">
        <f t="shared" si="145"/>
        <v>530</v>
      </c>
      <c r="B209" s="5">
        <f t="shared" si="146"/>
        <v>23.609730443017064</v>
      </c>
      <c r="D209" s="64">
        <f t="shared" si="142"/>
        <v>2.0154627673376391</v>
      </c>
      <c r="E209" s="54">
        <f t="shared" si="138"/>
        <v>2.7663386712304503E-3</v>
      </c>
      <c r="F209" s="63">
        <f t="shared" si="141"/>
        <v>2.0182291060088695</v>
      </c>
      <c r="G209" s="17">
        <f t="shared" si="147"/>
        <v>2.3909070249945144</v>
      </c>
      <c r="H209" s="17">
        <f t="shared" si="147"/>
        <v>3.6681988325778381</v>
      </c>
      <c r="I209" s="17">
        <f t="shared" si="147"/>
        <v>5.2415426966210923</v>
      </c>
      <c r="J209" s="17">
        <f t="shared" si="147"/>
        <v>7.1156534429552645</v>
      </c>
      <c r="K209" s="17">
        <f t="shared" si="147"/>
        <v>9.2470847151557933</v>
      </c>
      <c r="L209" s="63">
        <f t="shared" si="143"/>
        <v>0.49326986751773388</v>
      </c>
      <c r="M209" s="17">
        <f t="shared" si="148"/>
        <v>2631.4412090646988</v>
      </c>
      <c r="N209" s="17">
        <f t="shared" si="148"/>
        <v>9155.0178336526114</v>
      </c>
      <c r="O209" s="17">
        <f t="shared" si="148"/>
        <v>977.51960261111753</v>
      </c>
      <c r="P209" s="17">
        <f t="shared" si="148"/>
        <v>1089.9617172330416</v>
      </c>
      <c r="Q209" s="17">
        <f t="shared" si="148"/>
        <v>1041.5128745084164</v>
      </c>
      <c r="R209" s="17">
        <f t="shared" si="148"/>
        <v>117.63028140597144</v>
      </c>
      <c r="S209" s="17">
        <f t="shared" si="148"/>
        <v>53.08753781601839</v>
      </c>
      <c r="T209" s="17">
        <f t="shared" si="148"/>
        <v>108.75114525363828</v>
      </c>
      <c r="U209" s="17">
        <f t="shared" si="148"/>
        <v>9.1184729424371369</v>
      </c>
      <c r="V209" s="17">
        <f t="shared" si="148"/>
        <v>7.1869363319266713</v>
      </c>
      <c r="W209" s="17">
        <f t="shared" si="148"/>
        <v>21.038108417725326</v>
      </c>
      <c r="X209" s="17">
        <f t="shared" si="148"/>
        <v>9.6632789614472827</v>
      </c>
      <c r="Y209" s="50">
        <f t="shared" si="137"/>
        <v>-7.127863410298918E-3</v>
      </c>
      <c r="Z209" s="84">
        <f t="shared" si="144"/>
        <v>1.8846313235187018</v>
      </c>
      <c r="AA209" s="89">
        <f t="shared" si="149"/>
        <v>2</v>
      </c>
      <c r="AB209" s="5">
        <f t="shared" si="150"/>
        <v>-0.77313836688195359</v>
      </c>
    </row>
    <row r="210" spans="1:28" ht="13.5" customHeight="1">
      <c r="A210" s="17">
        <f t="shared" si="145"/>
        <v>540</v>
      </c>
      <c r="B210" s="5">
        <f t="shared" si="146"/>
        <v>23.617036194674967</v>
      </c>
      <c r="D210" s="64">
        <f t="shared" si="142"/>
        <v>2.0143690040675128</v>
      </c>
      <c r="E210" s="54">
        <f t="shared" si="138"/>
        <v>2.6116472294294211E-3</v>
      </c>
      <c r="F210" s="63">
        <f t="shared" si="141"/>
        <v>2.0169806512969424</v>
      </c>
      <c r="G210" s="17">
        <f t="shared" si="147"/>
        <v>2.2567761319670043</v>
      </c>
      <c r="H210" s="17">
        <f t="shared" si="147"/>
        <v>3.4625859538364208</v>
      </c>
      <c r="I210" s="17">
        <f t="shared" si="147"/>
        <v>4.9480799046740902</v>
      </c>
      <c r="J210" s="17">
        <f t="shared" si="147"/>
        <v>6.7178704449434843</v>
      </c>
      <c r="K210" s="17">
        <f t="shared" si="147"/>
        <v>8.7311598588732107</v>
      </c>
      <c r="L210" s="63">
        <f t="shared" si="143"/>
        <v>0.46771728238174931</v>
      </c>
      <c r="M210" s="17">
        <f t="shared" si="148"/>
        <v>2449.1762078348715</v>
      </c>
      <c r="N210" s="17">
        <f t="shared" si="148"/>
        <v>9196.7992125453384</v>
      </c>
      <c r="O210" s="17">
        <f t="shared" si="148"/>
        <v>1103.6684250063088</v>
      </c>
      <c r="P210" s="17">
        <f t="shared" si="148"/>
        <v>1228.5846776582671</v>
      </c>
      <c r="Q210" s="17">
        <f t="shared" si="148"/>
        <v>1144.6095111951479</v>
      </c>
      <c r="R210" s="17">
        <f t="shared" si="148"/>
        <v>125.50192001090139</v>
      </c>
      <c r="S210" s="17">
        <f t="shared" si="148"/>
        <v>56.187496419797249</v>
      </c>
      <c r="T210" s="17">
        <f t="shared" si="148"/>
        <v>113.7335451694438</v>
      </c>
      <c r="U210" s="17">
        <f t="shared" si="148"/>
        <v>9.4141504196619685</v>
      </c>
      <c r="V210" s="17">
        <f t="shared" si="148"/>
        <v>7.4020723460344273</v>
      </c>
      <c r="W210" s="17">
        <f t="shared" si="148"/>
        <v>21.576143322517925</v>
      </c>
      <c r="X210" s="17">
        <f t="shared" si="148"/>
        <v>9.8638549293461466</v>
      </c>
      <c r="Y210" s="50">
        <f t="shared" si="137"/>
        <v>-1.4745894252596869E-2</v>
      </c>
      <c r="Z210" s="84">
        <f t="shared" si="144"/>
        <v>1.8173280644978844</v>
      </c>
      <c r="AA210" s="89">
        <f t="shared" si="149"/>
        <v>2</v>
      </c>
      <c r="AB210" s="5">
        <f t="shared" si="150"/>
        <v>-0.71845020337564236</v>
      </c>
    </row>
    <row r="211" spans="1:28" ht="13.5" customHeight="1">
      <c r="A211" s="17">
        <f t="shared" si="145"/>
        <v>550</v>
      </c>
      <c r="B211" s="5">
        <f t="shared" si="146"/>
        <v>23.62874651527957</v>
      </c>
      <c r="D211" s="64">
        <f t="shared" si="142"/>
        <v>2.0125135884871197</v>
      </c>
      <c r="E211" s="54">
        <f t="shared" si="138"/>
        <v>2.4683417013526923E-3</v>
      </c>
      <c r="F211" s="63">
        <f t="shared" si="141"/>
        <v>2.0149819301884726</v>
      </c>
      <c r="G211" s="17">
        <f t="shared" si="147"/>
        <v>2.132557419206405</v>
      </c>
      <c r="H211" s="17">
        <f t="shared" si="147"/>
        <v>3.2721517577772441</v>
      </c>
      <c r="I211" s="17">
        <f t="shared" si="147"/>
        <v>4.6762499287947685</v>
      </c>
      <c r="J211" s="17">
        <f t="shared" si="147"/>
        <v>6.3493549261862992</v>
      </c>
      <c r="K211" s="17">
        <f t="shared" si="147"/>
        <v>8.2531029815621988</v>
      </c>
      <c r="L211" s="63">
        <f t="shared" si="143"/>
        <v>0.44388253108861231</v>
      </c>
      <c r="M211" s="17">
        <f t="shared" si="148"/>
        <v>2282.7095720580678</v>
      </c>
      <c r="N211" s="17">
        <f t="shared" si="148"/>
        <v>9150.0234551773083</v>
      </c>
      <c r="O211" s="17">
        <f t="shared" si="148"/>
        <v>1243.7612493986194</v>
      </c>
      <c r="P211" s="17">
        <f t="shared" si="148"/>
        <v>1386.6903521593504</v>
      </c>
      <c r="Q211" s="17">
        <f t="shared" si="148"/>
        <v>1260.9411793312063</v>
      </c>
      <c r="R211" s="17">
        <f t="shared" si="148"/>
        <v>134.07362899915037</v>
      </c>
      <c r="S211" s="17">
        <f t="shared" si="148"/>
        <v>59.53048875400043</v>
      </c>
      <c r="T211" s="17">
        <f t="shared" si="148"/>
        <v>119.02928224808416</v>
      </c>
      <c r="U211" s="17">
        <f t="shared" si="148"/>
        <v>9.722704601592616</v>
      </c>
      <c r="V211" s="17">
        <f t="shared" si="148"/>
        <v>7.6258550099352025</v>
      </c>
      <c r="W211" s="17">
        <f t="shared" si="148"/>
        <v>22.132792980876573</v>
      </c>
      <c r="X211" s="17">
        <f t="shared" si="148"/>
        <v>10.070013266881661</v>
      </c>
      <c r="Y211" s="50">
        <f t="shared" si="137"/>
        <v>-2.1630731512756185E-2</v>
      </c>
      <c r="Z211" s="84">
        <f t="shared" si="144"/>
        <v>1.7485451140609469</v>
      </c>
      <c r="AA211" s="89">
        <f t="shared" si="149"/>
        <v>2</v>
      </c>
      <c r="AB211" s="5">
        <f t="shared" si="150"/>
        <v>-0.62567942435598489</v>
      </c>
    </row>
    <row r="212" spans="1:28" ht="13.5" customHeight="1">
      <c r="A212" s="17">
        <f t="shared" si="145"/>
        <v>560</v>
      </c>
      <c r="B212" s="5">
        <f t="shared" si="146"/>
        <v>23.644027417157471</v>
      </c>
      <c r="D212" s="64">
        <f t="shared" si="142"/>
        <v>2.0100428577649616</v>
      </c>
      <c r="E212" s="54">
        <f t="shared" si="138"/>
        <v>2.3353881406581191E-3</v>
      </c>
      <c r="F212" s="63">
        <f t="shared" si="141"/>
        <v>2.0123782459056199</v>
      </c>
      <c r="G212" s="17">
        <f t="shared" si="147"/>
        <v>2.0173464826607379</v>
      </c>
      <c r="H212" s="17">
        <f t="shared" si="147"/>
        <v>3.0955130439501253</v>
      </c>
      <c r="I212" s="17">
        <f t="shared" si="147"/>
        <v>4.4240847784053994</v>
      </c>
      <c r="J212" s="17">
        <f t="shared" si="147"/>
        <v>6.0074503275993836</v>
      </c>
      <c r="K212" s="17">
        <f t="shared" si="147"/>
        <v>7.8094867739655447</v>
      </c>
      <c r="L212" s="63">
        <f t="shared" si="143"/>
        <v>0.4216258086670126</v>
      </c>
      <c r="M212" s="17">
        <f t="shared" si="148"/>
        <v>2130.4392761307377</v>
      </c>
      <c r="N212" s="17">
        <f t="shared" si="148"/>
        <v>9015.6096675759673</v>
      </c>
      <c r="O212" s="17">
        <f t="shared" si="148"/>
        <v>1397.1171667492563</v>
      </c>
      <c r="P212" s="17">
        <f t="shared" si="148"/>
        <v>1566.3975336353178</v>
      </c>
      <c r="Q212" s="17">
        <f t="shared" si="148"/>
        <v>1392.485589157259</v>
      </c>
      <c r="R212" s="17">
        <f t="shared" si="148"/>
        <v>143.42272840568828</v>
      </c>
      <c r="S212" s="17">
        <f t="shared" si="148"/>
        <v>63.140476894482688</v>
      </c>
      <c r="T212" s="17">
        <f t="shared" si="148"/>
        <v>124.66366578533263</v>
      </c>
      <c r="U212" s="17">
        <f t="shared" si="148"/>
        <v>10.044841538012721</v>
      </c>
      <c r="V212" s="17">
        <f t="shared" si="148"/>
        <v>7.8587217542041357</v>
      </c>
      <c r="W212" s="17">
        <f t="shared" si="148"/>
        <v>22.708874075793616</v>
      </c>
      <c r="X212" s="17">
        <f t="shared" si="148"/>
        <v>10.281949277440519</v>
      </c>
      <c r="Y212" s="50">
        <f t="shared" si="137"/>
        <v>-2.656359854560586E-2</v>
      </c>
      <c r="Z212" s="84">
        <f t="shared" si="144"/>
        <v>1.681382729152114</v>
      </c>
      <c r="AA212" s="89">
        <f t="shared" si="149"/>
        <v>2</v>
      </c>
      <c r="AB212" s="5">
        <f t="shared" si="150"/>
        <v>-0.50214288824808051</v>
      </c>
    </row>
    <row r="213" spans="1:28" ht="13.5" customHeight="1">
      <c r="A213" s="17">
        <f t="shared" si="145"/>
        <v>570</v>
      </c>
      <c r="B213" s="5">
        <f t="shared" si="146"/>
        <v>23.661468042214196</v>
      </c>
      <c r="D213" s="64">
        <f t="shared" si="142"/>
        <v>2.0072008687779985</v>
      </c>
      <c r="E213" s="54">
        <f t="shared" si="138"/>
        <v>2.211863785177787E-3</v>
      </c>
      <c r="F213" s="63">
        <f t="shared" si="141"/>
        <v>2.0094127325631761</v>
      </c>
      <c r="G213" s="17">
        <f t="shared" si="147"/>
        <v>1.9103367064956478</v>
      </c>
      <c r="H213" s="17">
        <f t="shared" si="147"/>
        <v>2.9314359539139527</v>
      </c>
      <c r="I213" s="17">
        <f t="shared" si="147"/>
        <v>4.1898285259062025</v>
      </c>
      <c r="J213" s="17">
        <f t="shared" si="147"/>
        <v>5.6897856086497152</v>
      </c>
      <c r="K213" s="17">
        <f t="shared" si="147"/>
        <v>7.3972510568123502</v>
      </c>
      <c r="L213" s="63">
        <f t="shared" si="143"/>
        <v>0.40082045830758611</v>
      </c>
      <c r="M213" s="17">
        <f t="shared" si="148"/>
        <v>1990.9446129865969</v>
      </c>
      <c r="N213" s="17">
        <f t="shared" si="148"/>
        <v>8796.327309360755</v>
      </c>
      <c r="O213" s="17">
        <f t="shared" si="148"/>
        <v>1561.7956449194321</v>
      </c>
      <c r="P213" s="17">
        <f t="shared" si="148"/>
        <v>1769.5831676183343</v>
      </c>
      <c r="Q213" s="17">
        <f t="shared" si="148"/>
        <v>1541.5203443398068</v>
      </c>
      <c r="R213" s="17">
        <f t="shared" si="148"/>
        <v>153.63666946369156</v>
      </c>
      <c r="S213" s="17">
        <f t="shared" si="148"/>
        <v>67.044271899395767</v>
      </c>
      <c r="T213" s="17">
        <f t="shared" si="148"/>
        <v>130.6645198647673</v>
      </c>
      <c r="U213" s="17">
        <f t="shared" si="148"/>
        <v>10.381314068976359</v>
      </c>
      <c r="V213" s="17">
        <f t="shared" si="148"/>
        <v>8.1011367529835336</v>
      </c>
      <c r="W213" s="17">
        <f t="shared" si="148"/>
        <v>23.305246909116867</v>
      </c>
      <c r="X213" s="17">
        <f t="shared" si="148"/>
        <v>10.499866520269048</v>
      </c>
      <c r="Y213" s="50">
        <f t="shared" si="137"/>
        <v>-2.8781369392858469E-2</v>
      </c>
      <c r="Z213" s="84">
        <f t="shared" si="144"/>
        <v>1.6176223330904507</v>
      </c>
      <c r="AA213" s="89">
        <f t="shared" si="149"/>
        <v>2</v>
      </c>
      <c r="AB213" s="5">
        <f t="shared" si="150"/>
        <v>-0.36004343889992629</v>
      </c>
    </row>
    <row r="214" spans="1:28" ht="13.5" customHeight="1">
      <c r="A214" s="17">
        <f t="shared" si="145"/>
        <v>580</v>
      </c>
      <c r="B214" s="5">
        <f t="shared" si="146"/>
        <v>23.679323156195842</v>
      </c>
      <c r="D214" s="64">
        <f t="shared" si="142"/>
        <v>2.0042865838863899</v>
      </c>
      <c r="E214" s="54">
        <f t="shared" si="138"/>
        <v>2.0969432947067048E-3</v>
      </c>
      <c r="F214" s="63">
        <f t="shared" si="141"/>
        <v>2.0063835271810966</v>
      </c>
      <c r="G214" s="17">
        <f t="shared" si="147"/>
        <v>1.8108070831975893</v>
      </c>
      <c r="H214" s="17">
        <f t="shared" si="147"/>
        <v>2.7788174024378782</v>
      </c>
      <c r="I214" s="17">
        <f t="shared" si="147"/>
        <v>3.9719109967228112</v>
      </c>
      <c r="J214" s="17">
        <f t="shared" si="147"/>
        <v>5.3942399277651418</v>
      </c>
      <c r="K214" s="17">
        <f t="shared" si="147"/>
        <v>7.0136575369436249</v>
      </c>
      <c r="L214" s="63">
        <f t="shared" si="143"/>
        <v>0.38135159187190854</v>
      </c>
      <c r="M214" s="17">
        <f t="shared" si="148"/>
        <v>1862.9641964476698</v>
      </c>
      <c r="N214" s="17">
        <f t="shared" si="148"/>
        <v>8497.0773728764252</v>
      </c>
      <c r="O214" s="17">
        <f t="shared" si="148"/>
        <v>1734.19244616782</v>
      </c>
      <c r="P214" s="17">
        <f t="shared" si="148"/>
        <v>1997.5798999126555</v>
      </c>
      <c r="Q214" s="17">
        <f t="shared" si="148"/>
        <v>1710.6537251209595</v>
      </c>
      <c r="R214" s="17">
        <f t="shared" si="148"/>
        <v>164.81455425474832</v>
      </c>
      <c r="S214" s="17">
        <f t="shared" si="148"/>
        <v>71.271930286957755</v>
      </c>
      <c r="T214" s="17">
        <f t="shared" si="148"/>
        <v>137.06248142591056</v>
      </c>
      <c r="U214" s="17">
        <f t="shared" si="148"/>
        <v>10.732925471451441</v>
      </c>
      <c r="V214" s="17">
        <f t="shared" si="148"/>
        <v>8.3535928367852268</v>
      </c>
      <c r="W214" s="17">
        <f t="shared" si="148"/>
        <v>23.922818142003862</v>
      </c>
      <c r="X214" s="17">
        <f t="shared" si="148"/>
        <v>10.723977201429426</v>
      </c>
      <c r="Y214" s="50">
        <f t="shared" si="137"/>
        <v>-2.7943565892198929E-2</v>
      </c>
      <c r="Z214" s="84">
        <f t="shared" si="144"/>
        <v>1.5581573341457635</v>
      </c>
      <c r="AA214" s="89">
        <f t="shared" si="149"/>
        <v>2</v>
      </c>
      <c r="AB214" s="5">
        <f t="shared" si="150"/>
        <v>-0.21432919431949582</v>
      </c>
    </row>
    <row r="215" spans="1:28" ht="13.5" customHeight="1">
      <c r="A215" s="17">
        <f t="shared" si="145"/>
        <v>590</v>
      </c>
      <c r="B215" s="5">
        <f t="shared" si="146"/>
        <v>23.695753772202739</v>
      </c>
      <c r="D215" s="64">
        <f t="shared" si="142"/>
        <v>2.0016121555995587</v>
      </c>
      <c r="E215" s="54">
        <f t="shared" si="138"/>
        <v>1.9898869091957705E-3</v>
      </c>
      <c r="F215" s="63">
        <f t="shared" si="141"/>
        <v>2.0036020425087546</v>
      </c>
      <c r="G215" s="17">
        <f t="shared" si="147"/>
        <v>1.7181117470464562</v>
      </c>
      <c r="H215" s="17">
        <f t="shared" si="147"/>
        <v>2.6366691103660789</v>
      </c>
      <c r="I215" s="17">
        <f t="shared" si="147"/>
        <v>3.7689251403782795</v>
      </c>
      <c r="J215" s="17">
        <f t="shared" si="147"/>
        <v>5.118912248471517</v>
      </c>
      <c r="K215" s="17">
        <f t="shared" si="147"/>
        <v>6.6562508456953706</v>
      </c>
      <c r="L215" s="63">
        <f t="shared" si="143"/>
        <v>0.36311486703572576</v>
      </c>
      <c r="M215" s="17">
        <f t="shared" si="148"/>
        <v>1745.3766965931597</v>
      </c>
      <c r="N215" s="17">
        <f t="shared" si="148"/>
        <v>8125.2278664986225</v>
      </c>
      <c r="O215" s="17">
        <f t="shared" si="148"/>
        <v>1908.7134137174155</v>
      </c>
      <c r="P215" s="17">
        <f t="shared" si="148"/>
        <v>2250.7550417654788</v>
      </c>
      <c r="Q215" s="17">
        <f t="shared" si="148"/>
        <v>1902.8482127375889</v>
      </c>
      <c r="R215" s="17">
        <f t="shared" si="148"/>
        <v>177.06890782726094</v>
      </c>
      <c r="S215" s="17">
        <f t="shared" si="148"/>
        <v>75.857213649307354</v>
      </c>
      <c r="T215" s="17">
        <f t="shared" si="148"/>
        <v>143.89133947579344</v>
      </c>
      <c r="U215" s="17">
        <f t="shared" si="148"/>
        <v>11.100533424903091</v>
      </c>
      <c r="V215" s="17">
        <f t="shared" si="148"/>
        <v>8.6166135762040721</v>
      </c>
      <c r="W215" s="17">
        <f t="shared" si="148"/>
        <v>24.562543755735845</v>
      </c>
      <c r="X215" s="17">
        <f t="shared" si="148"/>
        <v>10.954502616862033</v>
      </c>
      <c r="Y215" s="50">
        <f t="shared" si="137"/>
        <v>-2.4139022523833598E-2</v>
      </c>
      <c r="Z215" s="84">
        <f t="shared" si="144"/>
        <v>1.5033164365160809</v>
      </c>
      <c r="AA215" s="89">
        <f t="shared" si="149"/>
        <v>2</v>
      </c>
      <c r="AB215" s="5">
        <f t="shared" si="150"/>
        <v>-8.0607779977937E-2</v>
      </c>
    </row>
    <row r="216" spans="1:28" ht="13.5" customHeight="1">
      <c r="A216" s="17">
        <f t="shared" si="145"/>
        <v>600</v>
      </c>
      <c r="B216" s="5">
        <f t="shared" si="146"/>
        <v>23.709089036939289</v>
      </c>
      <c r="D216" s="64">
        <f t="shared" si="142"/>
        <v>1.9994587793816232</v>
      </c>
      <c r="E216" s="54">
        <f t="shared" si="138"/>
        <v>1.8900302302878476E-3</v>
      </c>
      <c r="F216" s="63">
        <f t="shared" si="141"/>
        <v>2.001348809611911</v>
      </c>
      <c r="G216" s="17">
        <f t="shared" ref="G216:K225" si="151">200*PI()*G$50*((G$24-$A216)*(ASINH(G$32/MAX(ABS(G$24-$A216),0.000001))-ASINH(G$28/MAX(ABS(G$24-$A216),0.000001)))-(G$22-$A216)*(ASINH(G$32/MAX(ABS(G$22-$A216),0.000001))-ASINH(G$28/MAX(ABS(G$22-$A216),0.000001))))</f>
        <v>1.6316709488126055</v>
      </c>
      <c r="H216" s="17">
        <f t="shared" si="151"/>
        <v>2.5041038402535842</v>
      </c>
      <c r="I216" s="17">
        <f t="shared" si="151"/>
        <v>3.5796075114269104</v>
      </c>
      <c r="J216" s="17">
        <f t="shared" si="151"/>
        <v>4.8620951082118351</v>
      </c>
      <c r="K216" s="17">
        <f t="shared" si="151"/>
        <v>6.3228248941735385</v>
      </c>
      <c r="L216" s="63">
        <f t="shared" si="143"/>
        <v>0.34601540241041073</v>
      </c>
      <c r="M216" s="17">
        <f t="shared" ref="M216:X225" si="152">200*PI()*M$50*((M$24-$A216)*(ASINH(M$32/MAX(ABS(M$24-$A216),0.000001))-ASINH(M$28/MAX(ABS(M$24-$A216),0.000001)))-(M$22-$A216)*(ASINH(M$32/MAX(ABS(M$22-$A216),0.000001))-ASINH(M$28/MAX(ABS(M$22-$A216),0.000001))))</f>
        <v>1637.1839857071584</v>
      </c>
      <c r="N216" s="17">
        <f t="shared" si="152"/>
        <v>7690.8324301279581</v>
      </c>
      <c r="O216" s="17">
        <f t="shared" si="152"/>
        <v>2077.6715082322635</v>
      </c>
      <c r="P216" s="17">
        <f t="shared" si="152"/>
        <v>2527.969470331916</v>
      </c>
      <c r="Q216" s="17">
        <f t="shared" si="152"/>
        <v>2121.429167412</v>
      </c>
      <c r="R216" s="17">
        <f t="shared" si="152"/>
        <v>190.52774754316394</v>
      </c>
      <c r="S216" s="17">
        <f t="shared" si="152"/>
        <v>80.838122661442341</v>
      </c>
      <c r="T216" s="17">
        <f t="shared" si="152"/>
        <v>151.1884219841252</v>
      </c>
      <c r="U216" s="17">
        <f t="shared" si="152"/>
        <v>11.485054339298609</v>
      </c>
      <c r="V216" s="17">
        <f t="shared" si="152"/>
        <v>8.8907555339820163</v>
      </c>
      <c r="W216" s="17">
        <f t="shared" si="152"/>
        <v>25.225432232142577</v>
      </c>
      <c r="X216" s="17">
        <f t="shared" si="152"/>
        <v>11.191673606671165</v>
      </c>
      <c r="Y216" s="50">
        <f t="shared" si="137"/>
        <v>-1.790662981087987E-2</v>
      </c>
      <c r="Z216" s="84">
        <f t="shared" si="144"/>
        <v>1.4530865394441927</v>
      </c>
      <c r="AA216" s="89">
        <f t="shared" si="149"/>
        <v>2</v>
      </c>
      <c r="AB216" s="5">
        <f t="shared" si="150"/>
        <v>2.7061030918840157E-2</v>
      </c>
    </row>
    <row r="217" spans="1:28" ht="13.5" customHeight="1">
      <c r="A217" s="17">
        <f t="shared" si="145"/>
        <v>610</v>
      </c>
      <c r="B217" s="5">
        <f t="shared" si="146"/>
        <v>23.718104693859935</v>
      </c>
      <c r="D217" s="64">
        <f t="shared" si="142"/>
        <v>1.9980308296373828</v>
      </c>
      <c r="E217" s="54">
        <f t="shared" si="138"/>
        <v>1.7967753789334677E-3</v>
      </c>
      <c r="F217" s="63">
        <f t="shared" si="141"/>
        <v>1.9998276050163162</v>
      </c>
      <c r="G217" s="17">
        <f t="shared" si="151"/>
        <v>1.5509632573716068</v>
      </c>
      <c r="H217" s="17">
        <f t="shared" si="151"/>
        <v>2.3803234922524568</v>
      </c>
      <c r="I217" s="17">
        <f t="shared" si="151"/>
        <v>3.4028213833324226</v>
      </c>
      <c r="J217" s="17">
        <f t="shared" si="151"/>
        <v>4.6222519191341549</v>
      </c>
      <c r="K217" s="17">
        <f t="shared" si="151"/>
        <v>6.0113937372440356</v>
      </c>
      <c r="L217" s="63">
        <f t="shared" si="143"/>
        <v>0.3299668142248155</v>
      </c>
      <c r="M217" s="17">
        <f t="shared" si="152"/>
        <v>1537.4964013604697</v>
      </c>
      <c r="N217" s="17">
        <f t="shared" si="152"/>
        <v>7206.5472749938763</v>
      </c>
      <c r="O217" s="17">
        <f t="shared" si="152"/>
        <v>2231.5780883180464</v>
      </c>
      <c r="P217" s="17">
        <f t="shared" si="152"/>
        <v>2825.9491062390366</v>
      </c>
      <c r="Q217" s="17">
        <f t="shared" si="152"/>
        <v>2370.0673659889053</v>
      </c>
      <c r="R217" s="17">
        <f t="shared" si="152"/>
        <v>205.33700235193356</v>
      </c>
      <c r="S217" s="17">
        <f t="shared" si="152"/>
        <v>86.257519012908546</v>
      </c>
      <c r="T217" s="17">
        <f t="shared" si="152"/>
        <v>158.99503807247285</v>
      </c>
      <c r="U217" s="17">
        <f t="shared" si="152"/>
        <v>11.887468090614162</v>
      </c>
      <c r="V217" s="17">
        <f t="shared" si="152"/>
        <v>9.1766107072616609</v>
      </c>
      <c r="W217" s="17">
        <f t="shared" si="152"/>
        <v>25.912547955196899</v>
      </c>
      <c r="X217" s="17">
        <f t="shared" si="152"/>
        <v>11.435731034944514</v>
      </c>
      <c r="Y217" s="50">
        <f t="shared" si="137"/>
        <v>-1.0217131488011733E-2</v>
      </c>
      <c r="Z217" s="84">
        <f t="shared" si="144"/>
        <v>1.4072601191946472</v>
      </c>
      <c r="AA217" s="89">
        <f t="shared" si="149"/>
        <v>2</v>
      </c>
      <c r="AB217" s="5">
        <f t="shared" si="150"/>
        <v>9.8458518130861705E-2</v>
      </c>
    </row>
    <row r="218" spans="1:28" ht="13.5" customHeight="1">
      <c r="A218" s="17">
        <f t="shared" si="145"/>
        <v>620</v>
      </c>
      <c r="B218" s="5">
        <f t="shared" si="146"/>
        <v>23.722272643326271</v>
      </c>
      <c r="D218" s="64">
        <f t="shared" si="142"/>
        <v>1.9974153530840209</v>
      </c>
      <c r="E218" s="54">
        <f t="shared" si="138"/>
        <v>1.7095833230719607E-3</v>
      </c>
      <c r="F218" s="63">
        <f t="shared" si="141"/>
        <v>1.9991249364070929</v>
      </c>
      <c r="G218" s="17">
        <f t="shared" si="151"/>
        <v>1.4755187964450467</v>
      </c>
      <c r="H218" s="17">
        <f t="shared" si="151"/>
        <v>2.2646087835047739</v>
      </c>
      <c r="I218" s="17">
        <f t="shared" si="151"/>
        <v>3.2375421058841374</v>
      </c>
      <c r="J218" s="17">
        <f t="shared" si="151"/>
        <v>4.3979972670430039</v>
      </c>
      <c r="K218" s="17">
        <f t="shared" si="151"/>
        <v>5.7201662778426456</v>
      </c>
      <c r="L218" s="63">
        <f t="shared" si="143"/>
        <v>0.31489036013483451</v>
      </c>
      <c r="M218" s="17">
        <f t="shared" si="152"/>
        <v>1445.5198630574814</v>
      </c>
      <c r="N218" s="17">
        <f t="shared" si="152"/>
        <v>6687.1146266670075</v>
      </c>
      <c r="O218" s="17">
        <f t="shared" si="152"/>
        <v>2359.9604539978041</v>
      </c>
      <c r="P218" s="17">
        <f t="shared" si="152"/>
        <v>3138.6557374565186</v>
      </c>
      <c r="Q218" s="17">
        <f t="shared" si="152"/>
        <v>2652.7194948430547</v>
      </c>
      <c r="R218" s="17">
        <f t="shared" si="152"/>
        <v>221.66334390393178</v>
      </c>
      <c r="S218" s="17">
        <f t="shared" si="152"/>
        <v>92.163851462494733</v>
      </c>
      <c r="T218" s="17">
        <f t="shared" si="152"/>
        <v>167.35698456559504</v>
      </c>
      <c r="U218" s="17">
        <f t="shared" si="152"/>
        <v>12.308823170285269</v>
      </c>
      <c r="V218" s="17">
        <f t="shared" si="152"/>
        <v>9.4748091729565278</v>
      </c>
      <c r="W218" s="17">
        <f t="shared" si="152"/>
        <v>26.625014888549938</v>
      </c>
      <c r="X218" s="17">
        <f t="shared" si="152"/>
        <v>11.686926306186214</v>
      </c>
      <c r="Y218" s="50">
        <f t="shared" si="137"/>
        <v>-2.3586284496901477E-3</v>
      </c>
      <c r="Z218" s="84">
        <f t="shared" si="144"/>
        <v>1.3655297285681796</v>
      </c>
      <c r="AA218" s="89">
        <f t="shared" si="149"/>
        <v>2</v>
      </c>
      <c r="AB218" s="5">
        <f t="shared" si="150"/>
        <v>0.12923234579895748</v>
      </c>
    </row>
    <row r="219" spans="1:28" ht="13.5" customHeight="1">
      <c r="A219" s="17">
        <f t="shared" si="145"/>
        <v>630</v>
      </c>
      <c r="B219" s="5">
        <f t="shared" si="146"/>
        <v>23.721903996283359</v>
      </c>
      <c r="D219" s="64">
        <f t="shared" si="142"/>
        <v>1.9975591039474447</v>
      </c>
      <c r="E219" s="54">
        <f t="shared" si="138"/>
        <v>1.6279672042060057E-3</v>
      </c>
      <c r="F219" s="63">
        <f t="shared" si="141"/>
        <v>1.9991870711516508</v>
      </c>
      <c r="G219" s="17">
        <f t="shared" si="151"/>
        <v>1.4049133683461799</v>
      </c>
      <c r="H219" s="17">
        <f t="shared" si="151"/>
        <v>2.1563102741787565</v>
      </c>
      <c r="I219" s="17">
        <f t="shared" si="151"/>
        <v>3.0828443695732082</v>
      </c>
      <c r="J219" s="17">
        <f t="shared" si="151"/>
        <v>4.1880797798804865</v>
      </c>
      <c r="K219" s="17">
        <f t="shared" si="151"/>
        <v>5.4475242500814245</v>
      </c>
      <c r="L219" s="63">
        <f t="shared" si="143"/>
        <v>0.3007141774857009</v>
      </c>
      <c r="M219" s="17">
        <f t="shared" si="152"/>
        <v>1360.5446080182712</v>
      </c>
      <c r="N219" s="17">
        <f t="shared" si="152"/>
        <v>6148.4036313004217</v>
      </c>
      <c r="O219" s="17">
        <f t="shared" si="152"/>
        <v>2452.7036332813736</v>
      </c>
      <c r="P219" s="17">
        <f t="shared" si="152"/>
        <v>3456.811289390143</v>
      </c>
      <c r="Q219" s="17">
        <f t="shared" si="152"/>
        <v>2973.5056608761847</v>
      </c>
      <c r="R219" s="17">
        <f t="shared" si="152"/>
        <v>239.69750191673964</v>
      </c>
      <c r="S219" s="17">
        <f t="shared" si="152"/>
        <v>98.612005508627774</v>
      </c>
      <c r="T219" s="17">
        <f t="shared" si="152"/>
        <v>176.32512759166815</v>
      </c>
      <c r="U219" s="17">
        <f t="shared" si="152"/>
        <v>12.750242344916272</v>
      </c>
      <c r="V219" s="17">
        <f t="shared" si="152"/>
        <v>9.7860219745075678</v>
      </c>
      <c r="W219" s="17">
        <f t="shared" si="152"/>
        <v>27.364020517618396</v>
      </c>
      <c r="X219" s="17">
        <f t="shared" si="152"/>
        <v>11.945521896964854</v>
      </c>
      <c r="Y219" s="50">
        <f t="shared" si="137"/>
        <v>4.2976512851700122E-3</v>
      </c>
      <c r="Z219" s="84">
        <f t="shared" si="144"/>
        <v>1.3275467313820388</v>
      </c>
      <c r="AA219" s="89">
        <f t="shared" si="149"/>
        <v>2</v>
      </c>
      <c r="AB219" s="5">
        <f t="shared" si="150"/>
        <v>0.12204480262776318</v>
      </c>
    </row>
    <row r="220" spans="1:28" ht="13.5" customHeight="1">
      <c r="A220" s="17">
        <f t="shared" si="145"/>
        <v>640</v>
      </c>
      <c r="B220" s="5">
        <f t="shared" si="146"/>
        <v>23.718112018392119</v>
      </c>
      <c r="D220" s="64">
        <f t="shared" si="142"/>
        <v>1.9982748833410549</v>
      </c>
      <c r="E220" s="54">
        <f t="shared" si="138"/>
        <v>1.5514865179787987E-3</v>
      </c>
      <c r="F220" s="63">
        <f t="shared" si="141"/>
        <v>1.9998263698590337</v>
      </c>
      <c r="G220" s="17">
        <f t="shared" si="151"/>
        <v>1.3387633346917245</v>
      </c>
      <c r="H220" s="17">
        <f t="shared" si="151"/>
        <v>2.0548405519757464</v>
      </c>
      <c r="I220" s="17">
        <f t="shared" si="151"/>
        <v>2.9378911042784219</v>
      </c>
      <c r="J220" s="17">
        <f t="shared" si="151"/>
        <v>3.9913671803791266</v>
      </c>
      <c r="K220" s="17">
        <f t="shared" si="151"/>
        <v>5.1920030084629678</v>
      </c>
      <c r="L220" s="63">
        <f t="shared" si="143"/>
        <v>0.28737260490128841</v>
      </c>
      <c r="M220" s="17">
        <f t="shared" si="152"/>
        <v>1281.9353390666345</v>
      </c>
      <c r="N220" s="17">
        <f t="shared" si="152"/>
        <v>5606.1548629730969</v>
      </c>
      <c r="O220" s="17">
        <f t="shared" si="152"/>
        <v>2501.7012801583664</v>
      </c>
      <c r="P220" s="17">
        <f t="shared" si="152"/>
        <v>3767.7874530540025</v>
      </c>
      <c r="Q220" s="17">
        <f t="shared" si="152"/>
        <v>3336.4988239481058</v>
      </c>
      <c r="R220" s="17">
        <f t="shared" si="152"/>
        <v>259.65814798005755</v>
      </c>
      <c r="S220" s="17">
        <f t="shared" si="152"/>
        <v>105.66430018747982</v>
      </c>
      <c r="T220" s="17">
        <f t="shared" si="152"/>
        <v>185.9560719095351</v>
      </c>
      <c r="U220" s="17">
        <f t="shared" si="152"/>
        <v>13.212928833963977</v>
      </c>
      <c r="V220" s="17">
        <f t="shared" si="152"/>
        <v>10.110964242459129</v>
      </c>
      <c r="W220" s="17">
        <f t="shared" si="152"/>
        <v>28.13082010456101</v>
      </c>
      <c r="X220" s="17">
        <f t="shared" si="152"/>
        <v>12.211791939399577</v>
      </c>
      <c r="Y220" s="50">
        <f t="shared" si="137"/>
        <v>8.6099841569964308E-3</v>
      </c>
      <c r="Z220" s="84">
        <f t="shared" si="144"/>
        <v>1.292956433992714</v>
      </c>
      <c r="AA220" s="89">
        <f t="shared" si="149"/>
        <v>2</v>
      </c>
      <c r="AB220" s="5">
        <f t="shared" si="150"/>
        <v>8.625583294725736E-2</v>
      </c>
    </row>
    <row r="221" spans="1:28" ht="13.5" customHeight="1">
      <c r="A221" s="17">
        <f t="shared" si="145"/>
        <v>650</v>
      </c>
      <c r="B221" s="5">
        <f t="shared" si="146"/>
        <v>23.712572495096151</v>
      </c>
      <c r="D221" s="64">
        <f t="shared" si="142"/>
        <v>1.999281100778844</v>
      </c>
      <c r="E221" s="54">
        <f t="shared" si="138"/>
        <v>1.4797420268539993E-3</v>
      </c>
      <c r="F221" s="63">
        <f t="shared" si="141"/>
        <v>2.0007608428056982</v>
      </c>
      <c r="G221" s="17">
        <f t="shared" si="151"/>
        <v>1.2767211417699542</v>
      </c>
      <c r="H221" s="17">
        <f t="shared" si="151"/>
        <v>1.9596673980954402</v>
      </c>
      <c r="I221" s="17">
        <f t="shared" si="151"/>
        <v>2.8019237783306554</v>
      </c>
      <c r="J221" s="17">
        <f t="shared" si="151"/>
        <v>3.8068332246258203</v>
      </c>
      <c r="K221" s="17">
        <f t="shared" si="151"/>
        <v>4.9522747257181212</v>
      </c>
      <c r="L221" s="63">
        <f t="shared" si="143"/>
        <v>0.27480557743503936</v>
      </c>
      <c r="M221" s="17">
        <f t="shared" si="152"/>
        <v>1209.122602802639</v>
      </c>
      <c r="N221" s="17">
        <f t="shared" si="152"/>
        <v>5074.6921210191113</v>
      </c>
      <c r="O221" s="17">
        <f t="shared" si="152"/>
        <v>2502.3957725306523</v>
      </c>
      <c r="P221" s="17">
        <f t="shared" si="152"/>
        <v>4056.0820165779041</v>
      </c>
      <c r="Q221" s="17">
        <f t="shared" si="152"/>
        <v>3745.4003464523389</v>
      </c>
      <c r="R221" s="17">
        <f t="shared" si="152"/>
        <v>281.79644482389648</v>
      </c>
      <c r="S221" s="17">
        <f t="shared" si="152"/>
        <v>113.39166037373964</v>
      </c>
      <c r="T221" s="17">
        <f t="shared" si="152"/>
        <v>196.31293309214479</v>
      </c>
      <c r="U221" s="17">
        <f t="shared" si="152"/>
        <v>13.698173077670134</v>
      </c>
      <c r="V221" s="17">
        <f t="shared" si="152"/>
        <v>10.450398603559329</v>
      </c>
      <c r="W221" s="17">
        <f t="shared" si="152"/>
        <v>28.926741260474422</v>
      </c>
      <c r="X221" s="17">
        <f t="shared" si="152"/>
        <v>12.486022823914977</v>
      </c>
      <c r="Y221" s="50">
        <f t="shared" si="137"/>
        <v>9.9576353826114072E-3</v>
      </c>
      <c r="Z221" s="84">
        <f t="shared" si="144"/>
        <v>1.2614179832979298</v>
      </c>
      <c r="AA221" s="89">
        <f t="shared" si="149"/>
        <v>2</v>
      </c>
      <c r="AB221" s="5">
        <f t="shared" si="150"/>
        <v>3.5944961057798874E-2</v>
      </c>
    </row>
    <row r="222" spans="1:28" ht="13.5" customHeight="1">
      <c r="A222" s="17">
        <f t="shared" si="145"/>
        <v>660</v>
      </c>
      <c r="B222" s="5">
        <f t="shared" si="146"/>
        <v>23.707134762196212</v>
      </c>
      <c r="D222" s="64">
        <f t="shared" si="142"/>
        <v>2.0002664104175771</v>
      </c>
      <c r="E222" s="54">
        <f t="shared" si="138"/>
        <v>1.412371304193176E-3</v>
      </c>
      <c r="F222" s="63">
        <f t="shared" si="141"/>
        <v>2.0016787817217705</v>
      </c>
      <c r="G222" s="17">
        <f t="shared" si="151"/>
        <v>1.218471408836026</v>
      </c>
      <c r="H222" s="17">
        <f t="shared" si="151"/>
        <v>1.8703078088103788</v>
      </c>
      <c r="I222" s="17">
        <f t="shared" si="151"/>
        <v>2.674253903429463</v>
      </c>
      <c r="J222" s="17">
        <f t="shared" si="151"/>
        <v>3.6335462551874502</v>
      </c>
      <c r="K222" s="17">
        <f t="shared" si="151"/>
        <v>4.7271336656684415</v>
      </c>
      <c r="L222" s="63">
        <f t="shared" si="143"/>
        <v>0.26295808671294585</v>
      </c>
      <c r="M222" s="17">
        <f t="shared" si="152"/>
        <v>1141.5952389996232</v>
      </c>
      <c r="N222" s="17">
        <f t="shared" si="152"/>
        <v>4565.8835086699401</v>
      </c>
      <c r="O222" s="17">
        <f t="shared" si="152"/>
        <v>2454.7211341078205</v>
      </c>
      <c r="P222" s="17">
        <f t="shared" si="152"/>
        <v>4304.5237762668103</v>
      </c>
      <c r="Q222" s="17">
        <f t="shared" si="152"/>
        <v>4203.0827761303754</v>
      </c>
      <c r="R222" s="17">
        <f t="shared" si="152"/>
        <v>306.40137156056119</v>
      </c>
      <c r="S222" s="17">
        <f t="shared" si="152"/>
        <v>121.8749989609346</v>
      </c>
      <c r="T222" s="17">
        <f t="shared" si="152"/>
        <v>207.46623054660586</v>
      </c>
      <c r="U222" s="17">
        <f t="shared" si="152"/>
        <v>14.207360181229598</v>
      </c>
      <c r="V222" s="17">
        <f t="shared" si="152"/>
        <v>10.805138887535831</v>
      </c>
      <c r="W222" s="17">
        <f t="shared" si="152"/>
        <v>29.753188897302742</v>
      </c>
      <c r="X222" s="17">
        <f t="shared" si="152"/>
        <v>12.768513837575757</v>
      </c>
      <c r="Y222" s="50">
        <f t="shared" si="137"/>
        <v>8.4028665686453063E-3</v>
      </c>
      <c r="Z222" s="84">
        <f t="shared" si="144"/>
        <v>1.2326146607707802</v>
      </c>
      <c r="AA222" s="89">
        <f t="shared" si="149"/>
        <v>2</v>
      </c>
      <c r="AB222" s="5">
        <f t="shared" si="150"/>
        <v>-1.3320520878856712E-2</v>
      </c>
    </row>
    <row r="223" spans="1:28" ht="13.5" customHeight="1">
      <c r="A223" s="17">
        <f t="shared" si="145"/>
        <v>670</v>
      </c>
      <c r="B223" s="5">
        <f t="shared" si="146"/>
        <v>23.703393434175947</v>
      </c>
      <c r="D223" s="64">
        <f t="shared" si="142"/>
        <v>2.0009616740925731</v>
      </c>
      <c r="E223" s="54">
        <f t="shared" si="138"/>
        <v>1.3490448207111453E-3</v>
      </c>
      <c r="F223" s="63">
        <f t="shared" si="141"/>
        <v>2.002310718913284</v>
      </c>
      <c r="G223" s="17">
        <f t="shared" si="151"/>
        <v>1.1637274913046738</v>
      </c>
      <c r="H223" s="17">
        <f t="shared" si="151"/>
        <v>1.7863227456822934</v>
      </c>
      <c r="I223" s="17">
        <f t="shared" si="151"/>
        <v>2.5542555749590847</v>
      </c>
      <c r="J223" s="17">
        <f t="shared" si="151"/>
        <v>3.4706591507507931</v>
      </c>
      <c r="K223" s="17">
        <f t="shared" si="151"/>
        <v>4.5154832444146074</v>
      </c>
      <c r="L223" s="63">
        <f t="shared" si="143"/>
        <v>0.25177969854691251</v>
      </c>
      <c r="M223" s="17">
        <f t="shared" si="152"/>
        <v>1078.893762510874</v>
      </c>
      <c r="N223" s="17">
        <f t="shared" si="152"/>
        <v>4088.5440534530708</v>
      </c>
      <c r="O223" s="17">
        <f t="shared" si="152"/>
        <v>2363.1170723523542</v>
      </c>
      <c r="P223" s="17">
        <f t="shared" si="152"/>
        <v>4496.1670016917487</v>
      </c>
      <c r="Q223" s="17">
        <f t="shared" si="152"/>
        <v>4711.0008826808316</v>
      </c>
      <c r="R223" s="17">
        <f t="shared" si="152"/>
        <v>333.80594859284793</v>
      </c>
      <c r="S223" s="17">
        <f t="shared" si="152"/>
        <v>131.20685059873668</v>
      </c>
      <c r="T223" s="17">
        <f t="shared" si="152"/>
        <v>219.49492294959703</v>
      </c>
      <c r="U223" s="17">
        <f t="shared" si="152"/>
        <v>14.741978064327053</v>
      </c>
      <c r="V223" s="17">
        <f t="shared" si="152"/>
        <v>11.176054160459787</v>
      </c>
      <c r="W223" s="17">
        <f t="shared" si="152"/>
        <v>30.611650547835431</v>
      </c>
      <c r="X223" s="17">
        <f t="shared" si="152"/>
        <v>13.059577853919656</v>
      </c>
      <c r="Y223" s="50">
        <f t="shared" si="137"/>
        <v>4.6641962317961472E-3</v>
      </c>
      <c r="Z223" s="84">
        <f t="shared" si="144"/>
        <v>1.2062582854123634</v>
      </c>
      <c r="AA223" s="89">
        <f t="shared" si="149"/>
        <v>2</v>
      </c>
      <c r="AB223" s="5">
        <f t="shared" si="150"/>
        <v>-4.8083704628654189E-2</v>
      </c>
    </row>
    <row r="224" spans="1:28" ht="13.5" customHeight="1">
      <c r="A224" s="17">
        <f t="shared" si="145"/>
        <v>680</v>
      </c>
      <c r="B224" s="5">
        <f t="shared" si="146"/>
        <v>23.702339960613617</v>
      </c>
      <c r="D224" s="64">
        <f t="shared" si="142"/>
        <v>2.0011992496639364</v>
      </c>
      <c r="E224" s="54">
        <f t="shared" si="138"/>
        <v>1.2894625011701821E-3</v>
      </c>
      <c r="F224" s="63">
        <f t="shared" si="141"/>
        <v>2.0024887121651065</v>
      </c>
      <c r="G224" s="17">
        <f t="shared" si="151"/>
        <v>1.1122284591186775</v>
      </c>
      <c r="H224" s="17">
        <f t="shared" si="151"/>
        <v>1.7073125194716665</v>
      </c>
      <c r="I224" s="17">
        <f t="shared" si="151"/>
        <v>2.4413589106345897</v>
      </c>
      <c r="J224" s="17">
        <f t="shared" si="151"/>
        <v>3.3174004817043743</v>
      </c>
      <c r="K224" s="17">
        <f t="shared" si="151"/>
        <v>4.3163246407725095</v>
      </c>
      <c r="L224" s="63">
        <f t="shared" si="143"/>
        <v>0.24122412141266189</v>
      </c>
      <c r="M224" s="17">
        <f t="shared" si="152"/>
        <v>1020.604556975651</v>
      </c>
      <c r="N224" s="17">
        <f t="shared" si="152"/>
        <v>3648.3250954818354</v>
      </c>
      <c r="O224" s="17">
        <f t="shared" si="152"/>
        <v>2235.6090238271336</v>
      </c>
      <c r="P224" s="17">
        <f t="shared" si="152"/>
        <v>4616.5969247090843</v>
      </c>
      <c r="Q224" s="17">
        <f t="shared" si="152"/>
        <v>5268.5093210275527</v>
      </c>
      <c r="R224" s="17">
        <f t="shared" si="152"/>
        <v>364.39449720133865</v>
      </c>
      <c r="S224" s="17">
        <f t="shared" si="152"/>
        <v>141.49330762774721</v>
      </c>
      <c r="T224" s="17">
        <f t="shared" si="152"/>
        <v>232.4876119166467</v>
      </c>
      <c r="U224" s="17">
        <f t="shared" si="152"/>
        <v>15.303626431975685</v>
      </c>
      <c r="V224" s="17">
        <f t="shared" si="152"/>
        <v>11.564073133482493</v>
      </c>
      <c r="W224" s="17">
        <f t="shared" si="152"/>
        <v>31.50370212922337</v>
      </c>
      <c r="X224" s="17">
        <f t="shared" si="152"/>
        <v>13.359542051071383</v>
      </c>
      <c r="Y224" s="50">
        <f t="shared" ref="Y224:Y255" si="153">100*(D225-D223)/(A225-A223)</f>
        <v>-8.6417674578509462E-5</v>
      </c>
      <c r="Z224" s="84">
        <f t="shared" si="144"/>
        <v>1.1820901291935677</v>
      </c>
      <c r="AA224" s="89">
        <f t="shared" si="149"/>
        <v>2</v>
      </c>
      <c r="AB224" s="5">
        <f t="shared" si="150"/>
        <v>-5.9962483196818184E-2</v>
      </c>
    </row>
    <row r="225" spans="1:28" ht="13.5" customHeight="1">
      <c r="A225" s="17">
        <f t="shared" si="145"/>
        <v>690</v>
      </c>
      <c r="B225" s="5">
        <f t="shared" si="146"/>
        <v>23.704180569498476</v>
      </c>
      <c r="D225" s="64">
        <f t="shared" si="142"/>
        <v>2.0009443905576574</v>
      </c>
      <c r="E225" s="54">
        <f t="shared" si="138"/>
        <v>1.2333506877735471E-3</v>
      </c>
      <c r="F225" s="63">
        <f t="shared" si="141"/>
        <v>2.0021777412454309</v>
      </c>
      <c r="G225" s="17">
        <f t="shared" si="151"/>
        <v>1.06373643586869</v>
      </c>
      <c r="H225" s="17">
        <f t="shared" si="151"/>
        <v>1.6329127197670414</v>
      </c>
      <c r="I225" s="17">
        <f t="shared" si="151"/>
        <v>2.335044266872552</v>
      </c>
      <c r="J225" s="17">
        <f t="shared" si="151"/>
        <v>3.1730667086918789</v>
      </c>
      <c r="K225" s="17">
        <f t="shared" si="151"/>
        <v>4.1287467465353096</v>
      </c>
      <c r="L225" s="63">
        <f t="shared" si="143"/>
        <v>0.23124881998886432</v>
      </c>
      <c r="M225" s="17">
        <f t="shared" si="152"/>
        <v>966.35477543269883</v>
      </c>
      <c r="N225" s="17">
        <f t="shared" si="152"/>
        <v>3248.0037713988663</v>
      </c>
      <c r="O225" s="17">
        <f t="shared" si="152"/>
        <v>2082.2784497559473</v>
      </c>
      <c r="P225" s="17">
        <f t="shared" si="152"/>
        <v>4656.1642095887246</v>
      </c>
      <c r="Q225" s="17">
        <f t="shared" si="152"/>
        <v>5872.179180668325</v>
      </c>
      <c r="R225" s="17">
        <f t="shared" si="152"/>
        <v>398.61107553516291</v>
      </c>
      <c r="S225" s="17">
        <f t="shared" si="152"/>
        <v>152.85631984005138</v>
      </c>
      <c r="T225" s="17">
        <f t="shared" si="152"/>
        <v>246.5439449978609</v>
      </c>
      <c r="U225" s="17">
        <f t="shared" si="152"/>
        <v>15.894026649179477</v>
      </c>
      <c r="V225" s="17">
        <f t="shared" si="152"/>
        <v>11.970188978063915</v>
      </c>
      <c r="W225" s="17">
        <f t="shared" si="152"/>
        <v>32.431014158981128</v>
      </c>
      <c r="X225" s="17">
        <f t="shared" si="152"/>
        <v>13.668748684068534</v>
      </c>
      <c r="Y225" s="50">
        <f t="shared" si="153"/>
        <v>-4.5368230440279156E-3</v>
      </c>
      <c r="Z225" s="84">
        <f t="shared" si="144"/>
        <v>1.1598798717001539</v>
      </c>
      <c r="AA225" s="89">
        <f t="shared" si="149"/>
        <v>2</v>
      </c>
      <c r="AB225" s="5">
        <f t="shared" si="150"/>
        <v>-4.7219527882869095E-2</v>
      </c>
    </row>
    <row r="226" spans="1:28" ht="13.5" customHeight="1">
      <c r="A226" s="17">
        <f t="shared" si="145"/>
        <v>700</v>
      </c>
      <c r="B226" s="5">
        <f t="shared" si="146"/>
        <v>23.708357339302491</v>
      </c>
      <c r="D226" s="64">
        <f t="shared" si="142"/>
        <v>2.0002918850551308</v>
      </c>
      <c r="E226" s="54">
        <f t="shared" si="138"/>
        <v>1.1804594580502369E-3</v>
      </c>
      <c r="F226" s="63">
        <f t="shared" si="141"/>
        <v>2.0014723445131812</v>
      </c>
      <c r="G226" s="17">
        <f t="shared" ref="G226:K235" si="154">200*PI()*G$50*((G$24-$A226)*(ASINH(G$32/MAX(ABS(G$24-$A226),0.000001))-ASINH(G$28/MAX(ABS(G$24-$A226),0.000001)))-(G$22-$A226)*(ASINH(G$32/MAX(ABS(G$22-$A226),0.000001))-ASINH(G$28/MAX(ABS(G$22-$A226),0.000001))))</f>
        <v>1.0180342482705973</v>
      </c>
      <c r="H226" s="17">
        <f t="shared" si="154"/>
        <v>1.562790623963024</v>
      </c>
      <c r="I226" s="17">
        <f t="shared" si="154"/>
        <v>2.2348371289122468</v>
      </c>
      <c r="J226" s="17">
        <f t="shared" si="154"/>
        <v>3.0370152940093291</v>
      </c>
      <c r="K226" s="17">
        <f t="shared" si="154"/>
        <v>3.9519172853471716</v>
      </c>
      <c r="L226" s="63">
        <f t="shared" si="143"/>
        <v>0.22181466865721985</v>
      </c>
      <c r="M226" s="17">
        <f t="shared" ref="M226:X235" si="155">200*PI()*M$50*((M$24-$A226)*(ASINH(M$32/MAX(ABS(M$24-$A226),0.000001))-ASINH(M$28/MAX(ABS(M$24-$A226),0.000001)))-(M$22-$A226)*(ASINH(M$32/MAX(ABS(M$22-$A226),0.000001))-ASINH(M$28/MAX(ABS(M$22-$A226),0.000001))))</f>
        <v>915.80785680599593</v>
      </c>
      <c r="N226" s="17">
        <f t="shared" si="155"/>
        <v>2888.0167218086381</v>
      </c>
      <c r="O226" s="17">
        <f t="shared" si="155"/>
        <v>1913.6085458088351</v>
      </c>
      <c r="P226" s="17">
        <f t="shared" si="155"/>
        <v>4611.599964202348</v>
      </c>
      <c r="Q226" s="17">
        <f t="shared" si="155"/>
        <v>6515.2637447673442</v>
      </c>
      <c r="R226" s="17">
        <f t="shared" si="155"/>
        <v>436.96923041118066</v>
      </c>
      <c r="S226" s="17">
        <f t="shared" si="155"/>
        <v>165.43643314105424</v>
      </c>
      <c r="T226" s="17">
        <f t="shared" si="155"/>
        <v>261.77625547109517</v>
      </c>
      <c r="U226" s="17">
        <f t="shared" si="155"/>
        <v>16.515032603424523</v>
      </c>
      <c r="V226" s="17">
        <f t="shared" si="155"/>
        <v>12.395464574897183</v>
      </c>
      <c r="W226" s="17">
        <f t="shared" si="155"/>
        <v>33.395358492052765</v>
      </c>
      <c r="X226" s="17">
        <f t="shared" si="155"/>
        <v>13.987555892245586</v>
      </c>
      <c r="Y226" s="50">
        <f t="shared" si="153"/>
        <v>-7.5707437962979629E-3</v>
      </c>
      <c r="Z226" s="84">
        <f t="shared" si="144"/>
        <v>1.1394235436198175</v>
      </c>
      <c r="AA226" s="89">
        <f t="shared" si="149"/>
        <v>2</v>
      </c>
      <c r="AB226" s="5">
        <f t="shared" si="150"/>
        <v>-1.4594252756539028E-2</v>
      </c>
    </row>
    <row r="227" spans="1:28" ht="13.5" customHeight="1">
      <c r="A227" s="17">
        <f t="shared" si="145"/>
        <v>710</v>
      </c>
      <c r="B227" s="5">
        <f t="shared" si="146"/>
        <v>23.713758003276947</v>
      </c>
      <c r="D227" s="64">
        <f t="shared" si="142"/>
        <v>1.9994302417983978</v>
      </c>
      <c r="E227" s="54">
        <f t="shared" si="138"/>
        <v>1.1305602497227985E-3</v>
      </c>
      <c r="F227" s="63">
        <f t="shared" si="141"/>
        <v>2.0005608020481205</v>
      </c>
      <c r="G227" s="17">
        <f t="shared" si="154"/>
        <v>0.97492334684629789</v>
      </c>
      <c r="H227" s="17">
        <f t="shared" si="154"/>
        <v>1.4966420163871699</v>
      </c>
      <c r="I227" s="17">
        <f t="shared" si="154"/>
        <v>2.1403035894685325</v>
      </c>
      <c r="J227" s="17">
        <f t="shared" si="154"/>
        <v>2.908658597857511</v>
      </c>
      <c r="K227" s="17">
        <f t="shared" si="154"/>
        <v>3.7850749466684745</v>
      </c>
      <c r="L227" s="63">
        <f t="shared" si="143"/>
        <v>0.21288564047567901</v>
      </c>
      <c r="M227" s="17">
        <f t="shared" si="155"/>
        <v>868.6595792842711</v>
      </c>
      <c r="N227" s="17">
        <f t="shared" si="155"/>
        <v>2567.0800800299148</v>
      </c>
      <c r="O227" s="17">
        <f t="shared" si="155"/>
        <v>1739.1296595416561</v>
      </c>
      <c r="P227" s="17">
        <f t="shared" si="155"/>
        <v>4486.5824532370134</v>
      </c>
      <c r="Q227" s="17">
        <f t="shared" si="155"/>
        <v>7187.4988771174621</v>
      </c>
      <c r="R227" s="17">
        <f t="shared" si="155"/>
        <v>480.06318595030297</v>
      </c>
      <c r="S227" s="17">
        <f t="shared" si="155"/>
        <v>179.39605866955401</v>
      </c>
      <c r="T227" s="17">
        <f t="shared" si="155"/>
        <v>278.31148424554073</v>
      </c>
      <c r="U227" s="17">
        <f t="shared" si="155"/>
        <v>17.168642709125695</v>
      </c>
      <c r="V227" s="17">
        <f t="shared" si="155"/>
        <v>12.841038264821728</v>
      </c>
      <c r="W227" s="17">
        <f t="shared" si="155"/>
        <v>34.398615602330828</v>
      </c>
      <c r="X227" s="17">
        <f t="shared" si="155"/>
        <v>14.316338575192944</v>
      </c>
      <c r="Y227" s="50">
        <f t="shared" si="153"/>
        <v>-8.5368559815968137E-3</v>
      </c>
      <c r="Z227" s="84">
        <f t="shared" si="144"/>
        <v>1.1205410349705065</v>
      </c>
      <c r="AA227" s="89">
        <f t="shared" si="149"/>
        <v>2</v>
      </c>
      <c r="AB227" s="5">
        <f t="shared" si="150"/>
        <v>2.8487910080110534E-2</v>
      </c>
    </row>
    <row r="228" spans="1:28" ht="13.5" customHeight="1">
      <c r="A228" s="17">
        <f t="shared" si="145"/>
        <v>720</v>
      </c>
      <c r="B228" s="5">
        <f t="shared" si="146"/>
        <v>23.719051465607556</v>
      </c>
      <c r="D228" s="64">
        <f t="shared" si="142"/>
        <v>1.9985845138588114</v>
      </c>
      <c r="E228" s="54">
        <f t="shared" si="138"/>
        <v>1.0834437541400164E-3</v>
      </c>
      <c r="F228" s="63">
        <f t="shared" si="141"/>
        <v>1.9996679576129515</v>
      </c>
      <c r="G228" s="17">
        <f t="shared" si="154"/>
        <v>0.934221961057209</v>
      </c>
      <c r="H228" s="17">
        <f t="shared" si="154"/>
        <v>1.4341883695261186</v>
      </c>
      <c r="I228" s="17">
        <f t="shared" si="154"/>
        <v>2.0510463373532275</v>
      </c>
      <c r="J228" s="17">
        <f t="shared" si="154"/>
        <v>2.7874584672622889</v>
      </c>
      <c r="K228" s="17">
        <f t="shared" si="154"/>
        <v>3.6275224062013192</v>
      </c>
      <c r="L228" s="63">
        <f t="shared" si="143"/>
        <v>0.20442852767454547</v>
      </c>
      <c r="M228" s="17">
        <f t="shared" si="155"/>
        <v>824.63458211475984</v>
      </c>
      <c r="N228" s="17">
        <f t="shared" si="155"/>
        <v>2282.7778905409887</v>
      </c>
      <c r="O228" s="17">
        <f t="shared" si="155"/>
        <v>1566.5860272150965</v>
      </c>
      <c r="P228" s="17">
        <f t="shared" si="155"/>
        <v>4291.1000899137944</v>
      </c>
      <c r="Q228" s="17">
        <f t="shared" si="155"/>
        <v>7875.4004894767359</v>
      </c>
      <c r="R228" s="17">
        <f t="shared" si="155"/>
        <v>528.58054467458896</v>
      </c>
      <c r="S228" s="17">
        <f t="shared" si="155"/>
        <v>194.9233840345494</v>
      </c>
      <c r="T228" s="17">
        <f t="shared" si="155"/>
        <v>296.29343880070286</v>
      </c>
      <c r="U228" s="17">
        <f t="shared" si="155"/>
        <v>17.857013135727136</v>
      </c>
      <c r="V228" s="17">
        <f t="shared" si="155"/>
        <v>13.308130150538332</v>
      </c>
      <c r="W228" s="17">
        <f t="shared" si="155"/>
        <v>35.442782478351063</v>
      </c>
      <c r="X228" s="17">
        <f t="shared" si="155"/>
        <v>14.655489306832363</v>
      </c>
      <c r="Y228" s="50">
        <f t="shared" si="153"/>
        <v>-7.3744868908565131E-3</v>
      </c>
      <c r="Z228" s="84">
        <f t="shared" si="144"/>
        <v>1.1030735056711243</v>
      </c>
      <c r="AA228" s="89">
        <f t="shared" si="149"/>
        <v>2</v>
      </c>
      <c r="AB228" s="5">
        <f t="shared" si="150"/>
        <v>7.0774307059429109E-2</v>
      </c>
    </row>
    <row r="229" spans="1:28" ht="13.5" customHeight="1">
      <c r="A229" s="17">
        <f t="shared" si="145"/>
        <v>730</v>
      </c>
      <c r="B229" s="5">
        <f t="shared" si="146"/>
        <v>23.723047991278477</v>
      </c>
      <c r="D229" s="64">
        <f t="shared" si="142"/>
        <v>1.9979553444202265</v>
      </c>
      <c r="E229" s="54">
        <f t="shared" si="138"/>
        <v>1.0389180451064167E-3</v>
      </c>
      <c r="F229" s="63">
        <f t="shared" si="141"/>
        <v>1.998994262465333</v>
      </c>
      <c r="G229" s="17">
        <f t="shared" si="154"/>
        <v>0.89576346438200483</v>
      </c>
      <c r="H229" s="17">
        <f t="shared" si="154"/>
        <v>1.3751743404910499</v>
      </c>
      <c r="I229" s="17">
        <f t="shared" si="154"/>
        <v>1.9667010967596892</v>
      </c>
      <c r="J229" s="17">
        <f t="shared" si="154"/>
        <v>2.6729214280874865</v>
      </c>
      <c r="K229" s="17">
        <f t="shared" si="154"/>
        <v>3.4786201213439352</v>
      </c>
      <c r="L229" s="63">
        <f t="shared" si="143"/>
        <v>0.19641269019524782</v>
      </c>
      <c r="M229" s="17">
        <f t="shared" si="155"/>
        <v>783.48329640319241</v>
      </c>
      <c r="N229" s="17">
        <f t="shared" si="155"/>
        <v>2032.0530973873556</v>
      </c>
      <c r="O229" s="17">
        <f t="shared" si="155"/>
        <v>1401.6310299498571</v>
      </c>
      <c r="P229" s="17">
        <f t="shared" si="155"/>
        <v>4039.7852446984252</v>
      </c>
      <c r="Q229" s="17">
        <f t="shared" si="155"/>
        <v>8563.1189455672757</v>
      </c>
      <c r="R229" s="17">
        <f t="shared" si="155"/>
        <v>583.31648755983269</v>
      </c>
      <c r="S229" s="17">
        <f t="shared" si="155"/>
        <v>212.23706283379042</v>
      </c>
      <c r="T229" s="17">
        <f t="shared" si="155"/>
        <v>315.88545591623648</v>
      </c>
      <c r="U229" s="17">
        <f t="shared" si="155"/>
        <v>18.582472448741491</v>
      </c>
      <c r="V229" s="17">
        <f t="shared" si="155"/>
        <v>13.798048990832068</v>
      </c>
      <c r="W229" s="17">
        <f t="shared" si="155"/>
        <v>36.529981181012872</v>
      </c>
      <c r="X229" s="17">
        <f t="shared" si="155"/>
        <v>15.005419313228694</v>
      </c>
      <c r="Y229" s="50">
        <f t="shared" si="153"/>
        <v>-4.558622494262865E-3</v>
      </c>
      <c r="Z229" s="84">
        <f t="shared" si="144"/>
        <v>1.0868808865939932</v>
      </c>
      <c r="AA229" s="89">
        <f t="shared" si="149"/>
        <v>2</v>
      </c>
      <c r="AB229" s="5">
        <f t="shared" si="150"/>
        <v>0.10223277898867567</v>
      </c>
    </row>
    <row r="230" spans="1:28" ht="13.5" customHeight="1">
      <c r="A230" s="17">
        <f t="shared" si="145"/>
        <v>740</v>
      </c>
      <c r="B230" s="5">
        <f t="shared" si="146"/>
        <v>23.72497471266734</v>
      </c>
      <c r="D230" s="64">
        <f t="shared" si="142"/>
        <v>1.9976727893599588</v>
      </c>
      <c r="E230" s="54">
        <f t="shared" si="138"/>
        <v>9.96806912328285E-4</v>
      </c>
      <c r="F230" s="63">
        <f t="shared" si="141"/>
        <v>1.9986695962722871</v>
      </c>
      <c r="G230" s="17">
        <f t="shared" si="154"/>
        <v>0.85939491581466032</v>
      </c>
      <c r="H230" s="17">
        <f t="shared" si="154"/>
        <v>1.3193655416196601</v>
      </c>
      <c r="I230" s="17">
        <f t="shared" si="154"/>
        <v>1.8869334542985856</v>
      </c>
      <c r="J230" s="17">
        <f t="shared" si="154"/>
        <v>2.5645944032802306</v>
      </c>
      <c r="K230" s="17">
        <f t="shared" si="154"/>
        <v>3.3377808082697147</v>
      </c>
      <c r="L230" s="63">
        <f t="shared" si="143"/>
        <v>0.18880982920252437</v>
      </c>
      <c r="M230" s="17">
        <f t="shared" si="155"/>
        <v>744.97923341538569</v>
      </c>
      <c r="N230" s="17">
        <f t="shared" si="155"/>
        <v>1811.5789603142123</v>
      </c>
      <c r="O230" s="17">
        <f t="shared" si="155"/>
        <v>1247.9213642947827</v>
      </c>
      <c r="P230" s="17">
        <f t="shared" si="155"/>
        <v>3749.659890437325</v>
      </c>
      <c r="Q230" s="17">
        <f t="shared" si="155"/>
        <v>9233.7466885396971</v>
      </c>
      <c r="R230" s="17">
        <f t="shared" si="155"/>
        <v>645.18930155266287</v>
      </c>
      <c r="S230" s="17">
        <f t="shared" si="155"/>
        <v>231.59184825334995</v>
      </c>
      <c r="T230" s="17">
        <f t="shared" si="155"/>
        <v>337.27354953567652</v>
      </c>
      <c r="U230" s="17">
        <f t="shared" si="155"/>
        <v>19.347537805788519</v>
      </c>
      <c r="V230" s="17">
        <f t="shared" si="155"/>
        <v>14.312199774697049</v>
      </c>
      <c r="W230" s="17">
        <f t="shared" si="155"/>
        <v>37.662468136002275</v>
      </c>
      <c r="X230" s="17">
        <f t="shared" si="155"/>
        <v>15.366559514769682</v>
      </c>
      <c r="Y230" s="50">
        <f t="shared" si="153"/>
        <v>-8.9116879964268314E-4</v>
      </c>
      <c r="Z230" s="84">
        <f t="shared" si="144"/>
        <v>1.0718395672524978</v>
      </c>
      <c r="AA230" s="89">
        <f t="shared" si="149"/>
        <v>2</v>
      </c>
      <c r="AB230" s="5">
        <f t="shared" si="150"/>
        <v>0.11636053200205776</v>
      </c>
    </row>
    <row r="231" spans="1:28" ht="13.5" customHeight="1">
      <c r="A231" s="17">
        <f t="shared" si="145"/>
        <v>750</v>
      </c>
      <c r="B231" s="5">
        <f t="shared" si="146"/>
        <v>23.724592123051856</v>
      </c>
      <c r="D231" s="64">
        <f t="shared" si="142"/>
        <v>1.997777110660298</v>
      </c>
      <c r="E231" s="54">
        <f t="shared" si="138"/>
        <v>9.5694837653358524E-4</v>
      </c>
      <c r="F231" s="63">
        <f t="shared" si="141"/>
        <v>1.9987340590368314</v>
      </c>
      <c r="G231" s="17">
        <f t="shared" si="154"/>
        <v>0.82497576243097226</v>
      </c>
      <c r="H231" s="17">
        <f t="shared" si="154"/>
        <v>1.266546557165519</v>
      </c>
      <c r="I231" s="17">
        <f t="shared" si="154"/>
        <v>1.8114360364214444</v>
      </c>
      <c r="J231" s="17">
        <f t="shared" si="154"/>
        <v>2.4620608961695751</v>
      </c>
      <c r="K231" s="17">
        <f t="shared" si="154"/>
        <v>3.20446451314834</v>
      </c>
      <c r="L231" s="63">
        <f t="shared" si="143"/>
        <v>0.18159378286109129</v>
      </c>
      <c r="M231" s="17">
        <f t="shared" si="155"/>
        <v>708.91658565548869</v>
      </c>
      <c r="N231" s="17">
        <f t="shared" si="155"/>
        <v>1618.0168288318466</v>
      </c>
      <c r="O231" s="17">
        <f t="shared" si="155"/>
        <v>1107.4391522283136</v>
      </c>
      <c r="P231" s="17">
        <f t="shared" si="155"/>
        <v>3437.8426768510199</v>
      </c>
      <c r="Q231" s="17">
        <f t="shared" si="155"/>
        <v>9870.8166891019919</v>
      </c>
      <c r="R231" s="17">
        <f t="shared" si="155"/>
        <v>715.25679931178001</v>
      </c>
      <c r="S231" s="17">
        <f t="shared" si="155"/>
        <v>253.28537217711761</v>
      </c>
      <c r="T231" s="17">
        <f t="shared" si="155"/>
        <v>360.67014303305154</v>
      </c>
      <c r="U231" s="17">
        <f t="shared" si="155"/>
        <v>20.154932909711171</v>
      </c>
      <c r="V231" s="17">
        <f t="shared" si="155"/>
        <v>14.852092033427789</v>
      </c>
      <c r="W231" s="17">
        <f t="shared" si="155"/>
        <v>38.842644223530165</v>
      </c>
      <c r="X231" s="17">
        <f t="shared" si="155"/>
        <v>15.739361634795802</v>
      </c>
      <c r="Y231" s="50">
        <f t="shared" si="153"/>
        <v>2.7737277026773643E-3</v>
      </c>
      <c r="Z231" s="84">
        <f t="shared" si="144"/>
        <v>1.0578403110045489</v>
      </c>
      <c r="AA231" s="89">
        <f t="shared" si="149"/>
        <v>2</v>
      </c>
      <c r="AB231" s="5">
        <f t="shared" si="150"/>
        <v>0.1111444669851025</v>
      </c>
    </row>
    <row r="232" spans="1:28" ht="13.5" customHeight="1">
      <c r="A232" s="17">
        <f t="shared" si="145"/>
        <v>760</v>
      </c>
      <c r="B232" s="5">
        <f t="shared" si="146"/>
        <v>23.722143349726426</v>
      </c>
      <c r="D232" s="64">
        <f t="shared" ref="D232:D263" si="156">L232+0.0001*SUM(M232:X232)</f>
        <v>1.9982275349004943</v>
      </c>
      <c r="E232" s="54">
        <f t="shared" si="138"/>
        <v>9.191933624304767E-4</v>
      </c>
      <c r="F232" s="63">
        <f t="shared" si="141"/>
        <v>1.9991467282629247</v>
      </c>
      <c r="G232" s="17">
        <f t="shared" si="154"/>
        <v>0.79237668161551078</v>
      </c>
      <c r="H232" s="17">
        <f t="shared" si="154"/>
        <v>1.2165191688419983</v>
      </c>
      <c r="I232" s="17">
        <f t="shared" si="154"/>
        <v>1.7399259808369745</v>
      </c>
      <c r="J232" s="17">
        <f t="shared" si="154"/>
        <v>2.3649375815849329</v>
      </c>
      <c r="K232" s="17">
        <f t="shared" si="154"/>
        <v>3.0781742114253512</v>
      </c>
      <c r="L232" s="63">
        <f t="shared" ref="L232:L263" si="157">0.02*PI()*L$50*((L$24-$A232)*(ASINH(L$32/MAX(ABS(L$24-$A232),0.000001))-ASINH(L$28/MAX(ABS(L$24-$A232),0.000001)))-(L$22-$A232)*(ASINH(L$32/MAX(ABS(L$22-$A232),0.000001))-ASINH(L$28/MAX(ABS(L$22-$A232),0.000001))))</f>
        <v>0.17474034198315308</v>
      </c>
      <c r="M232" s="17">
        <f t="shared" si="155"/>
        <v>675.10810191472376</v>
      </c>
      <c r="N232" s="17">
        <f t="shared" si="155"/>
        <v>1448.1797868948227</v>
      </c>
      <c r="O232" s="17">
        <f t="shared" si="155"/>
        <v>980.89537554917172</v>
      </c>
      <c r="P232" s="17">
        <f t="shared" si="155"/>
        <v>3119.6903038171431</v>
      </c>
      <c r="Q232" s="17">
        <f t="shared" si="155"/>
        <v>10459.656444778122</v>
      </c>
      <c r="R232" s="17">
        <f t="shared" si="155"/>
        <v>794.73277329296968</v>
      </c>
      <c r="S232" s="17">
        <f t="shared" si="155"/>
        <v>277.66631348096166</v>
      </c>
      <c r="T232" s="17">
        <f t="shared" si="155"/>
        <v>386.31850741804379</v>
      </c>
      <c r="U232" s="17">
        <f t="shared" si="155"/>
        <v>21.007607919392292</v>
      </c>
      <c r="V232" s="17">
        <f t="shared" si="155"/>
        <v>15.419348984024976</v>
      </c>
      <c r="W232" s="17">
        <f t="shared" si="155"/>
        <v>40.073065747631112</v>
      </c>
      <c r="X232" s="17">
        <f t="shared" si="155"/>
        <v>16.12429937640788</v>
      </c>
      <c r="Y232" s="50">
        <f t="shared" si="153"/>
        <v>5.7634697294439707E-3</v>
      </c>
      <c r="Z232" s="84">
        <f t="shared" si="144"/>
        <v>1.0447864065246975</v>
      </c>
      <c r="AA232" s="89">
        <f t="shared" si="149"/>
        <v>2</v>
      </c>
      <c r="AB232" s="5">
        <f t="shared" si="150"/>
        <v>8.8623254975284116E-2</v>
      </c>
    </row>
    <row r="233" spans="1:28" ht="13.5" customHeight="1">
      <c r="A233" s="17">
        <f t="shared" si="145"/>
        <v>770</v>
      </c>
      <c r="B233" s="5">
        <f t="shared" si="146"/>
        <v>23.718190062533452</v>
      </c>
      <c r="D233" s="64">
        <f t="shared" si="156"/>
        <v>1.9989298046061867</v>
      </c>
      <c r="E233" s="54">
        <f t="shared" si="138"/>
        <v>8.834045121109196E-4</v>
      </c>
      <c r="F233" s="63">
        <f t="shared" si="141"/>
        <v>1.9998132091182976</v>
      </c>
      <c r="G233" s="17">
        <f t="shared" si="154"/>
        <v>0.76147854355739675</v>
      </c>
      <c r="H233" s="17">
        <f t="shared" si="154"/>
        <v>1.1691007698364024</v>
      </c>
      <c r="I233" s="17">
        <f t="shared" si="154"/>
        <v>1.6721426836117386</v>
      </c>
      <c r="J233" s="17">
        <f t="shared" si="154"/>
        <v>2.2728712562629068</v>
      </c>
      <c r="K233" s="17">
        <f t="shared" si="154"/>
        <v>2.9584518678407505</v>
      </c>
      <c r="L233" s="63">
        <f t="shared" si="157"/>
        <v>0.16822708343052931</v>
      </c>
      <c r="M233" s="17">
        <f t="shared" si="155"/>
        <v>643.383202549869</v>
      </c>
      <c r="N233" s="17">
        <f t="shared" si="155"/>
        <v>1299.1252699787983</v>
      </c>
      <c r="O233" s="17">
        <f t="shared" si="155"/>
        <v>868.11818157292066</v>
      </c>
      <c r="P233" s="17">
        <f t="shared" si="155"/>
        <v>2807.6373165247828</v>
      </c>
      <c r="Q233" s="17">
        <f t="shared" si="155"/>
        <v>10988.316162525902</v>
      </c>
      <c r="R233" s="17">
        <f t="shared" si="155"/>
        <v>885.00197055459432</v>
      </c>
      <c r="S233" s="17">
        <f t="shared" si="155"/>
        <v>305.14424847518916</v>
      </c>
      <c r="T233" s="17">
        <f t="shared" si="155"/>
        <v>414.49805435228558</v>
      </c>
      <c r="U233" s="17">
        <f t="shared" si="155"/>
        <v>21.908761578893529</v>
      </c>
      <c r="V233" s="17">
        <f t="shared" si="155"/>
        <v>16.015717591716452</v>
      </c>
      <c r="W233" s="17">
        <f t="shared" si="155"/>
        <v>41.356456376584134</v>
      </c>
      <c r="X233" s="17">
        <f t="shared" si="155"/>
        <v>16.521869675038456</v>
      </c>
      <c r="Y233" s="50">
        <f t="shared" si="153"/>
        <v>7.7078993150414554E-3</v>
      </c>
      <c r="Z233" s="84">
        <f t="shared" si="144"/>
        <v>1.032592046552312</v>
      </c>
      <c r="AA233" s="89">
        <f t="shared" si="149"/>
        <v>2</v>
      </c>
      <c r="AB233" s="5">
        <f t="shared" si="150"/>
        <v>5.350976969066279E-2</v>
      </c>
    </row>
    <row r="234" spans="1:28" ht="13.5" customHeight="1">
      <c r="A234" s="17">
        <f t="shared" si="145"/>
        <v>780</v>
      </c>
      <c r="B234" s="5">
        <f t="shared" si="146"/>
        <v>23.713415633570229</v>
      </c>
      <c r="D234" s="64">
        <f t="shared" si="156"/>
        <v>1.9997691147635026</v>
      </c>
      <c r="E234" s="54">
        <f t="shared" si="138"/>
        <v>8.494551211972528E-4</v>
      </c>
      <c r="F234" s="63">
        <f t="shared" si="141"/>
        <v>2.0006185698846997</v>
      </c>
      <c r="G234" s="17">
        <f t="shared" si="154"/>
        <v>0.73217148274763366</v>
      </c>
      <c r="H234" s="17">
        <f t="shared" si="154"/>
        <v>1.1241229459175253</v>
      </c>
      <c r="I234" s="17">
        <f t="shared" si="154"/>
        <v>1.6078457744914081</v>
      </c>
      <c r="J234" s="17">
        <f t="shared" si="154"/>
        <v>2.1855361036433023</v>
      </c>
      <c r="K234" s="17">
        <f t="shared" si="154"/>
        <v>2.8448749051726585</v>
      </c>
      <c r="L234" s="63">
        <f t="shared" si="157"/>
        <v>0.16203321939721721</v>
      </c>
      <c r="M234" s="17">
        <f t="shared" si="155"/>
        <v>613.58630566360557</v>
      </c>
      <c r="N234" s="17">
        <f t="shared" si="155"/>
        <v>1168.1978789615073</v>
      </c>
      <c r="O234" s="17">
        <f t="shared" si="155"/>
        <v>768.37766440136693</v>
      </c>
      <c r="P234" s="17">
        <f t="shared" si="155"/>
        <v>2510.7601543828155</v>
      </c>
      <c r="Q234" s="17">
        <f t="shared" si="155"/>
        <v>11447.94040519157</v>
      </c>
      <c r="R234" s="17">
        <f t="shared" si="155"/>
        <v>987.63108632907472</v>
      </c>
      <c r="S234" s="17">
        <f t="shared" si="155"/>
        <v>336.2015323259314</v>
      </c>
      <c r="T234" s="17">
        <f t="shared" si="155"/>
        <v>445.53066673396614</v>
      </c>
      <c r="U234" s="17">
        <f t="shared" si="155"/>
        <v>22.861865830510624</v>
      </c>
      <c r="V234" s="17">
        <f t="shared" si="155"/>
        <v>16.643079655082875</v>
      </c>
      <c r="W234" s="17">
        <f t="shared" si="155"/>
        <v>42.695720143366643</v>
      </c>
      <c r="X234" s="17">
        <f t="shared" si="155"/>
        <v>16.932594044059872</v>
      </c>
      <c r="Y234" s="50">
        <f t="shared" si="153"/>
        <v>8.537447590407643E-3</v>
      </c>
      <c r="Z234" s="84">
        <f t="shared" si="144"/>
        <v>1.0211809159563627</v>
      </c>
      <c r="AA234" s="89">
        <f t="shared" si="149"/>
        <v>2</v>
      </c>
      <c r="AB234" s="5">
        <f t="shared" si="150"/>
        <v>1.1544261824869562E-2</v>
      </c>
    </row>
    <row r="235" spans="1:28" ht="13.5" customHeight="1">
      <c r="A235" s="17">
        <f t="shared" si="145"/>
        <v>790</v>
      </c>
      <c r="B235" s="5">
        <f t="shared" si="146"/>
        <v>23.708462896093256</v>
      </c>
      <c r="D235" s="64">
        <f t="shared" si="156"/>
        <v>2.0006372941242683</v>
      </c>
      <c r="E235" s="54">
        <f t="shared" si="138"/>
        <v>8.1722818524623429E-4</v>
      </c>
      <c r="F235" s="63">
        <f t="shared" si="141"/>
        <v>2.0014545223095146</v>
      </c>
      <c r="G235" s="17">
        <f t="shared" si="154"/>
        <v>0.70435406848879722</v>
      </c>
      <c r="H235" s="17">
        <f t="shared" si="154"/>
        <v>1.0814302005045864</v>
      </c>
      <c r="I235" s="17">
        <f t="shared" si="154"/>
        <v>1.5468133020172694</v>
      </c>
      <c r="J235" s="17">
        <f t="shared" si="154"/>
        <v>2.1026312453031335</v>
      </c>
      <c r="K235" s="17">
        <f t="shared" si="154"/>
        <v>2.7370530361485561</v>
      </c>
      <c r="L235" s="63">
        <f t="shared" si="157"/>
        <v>0.15613946091206379</v>
      </c>
      <c r="M235" s="17">
        <f t="shared" si="155"/>
        <v>585.57533866013216</v>
      </c>
      <c r="N235" s="17">
        <f t="shared" si="155"/>
        <v>1053.0395287187064</v>
      </c>
      <c r="O235" s="17">
        <f t="shared" si="155"/>
        <v>680.63285127761537</v>
      </c>
      <c r="P235" s="17">
        <f t="shared" si="155"/>
        <v>2234.9158660269145</v>
      </c>
      <c r="Q235" s="17">
        <f t="shared" si="155"/>
        <v>11832.62187439746</v>
      </c>
      <c r="R235" s="17">
        <f t="shared" si="155"/>
        <v>1104.3718279529305</v>
      </c>
      <c r="S235" s="17">
        <f t="shared" si="155"/>
        <v>371.40762095194265</v>
      </c>
      <c r="T235" s="17">
        <f t="shared" si="155"/>
        <v>479.7882912442621</v>
      </c>
      <c r="U235" s="17">
        <f t="shared" si="155"/>
        <v>23.870693230206559</v>
      </c>
      <c r="V235" s="17">
        <f t="shared" si="155"/>
        <v>17.303464034957475</v>
      </c>
      <c r="W235" s="17">
        <f t="shared" si="155"/>
        <v>44.093955631589495</v>
      </c>
      <c r="X235" s="17">
        <f t="shared" si="155"/>
        <v>17.357019995323334</v>
      </c>
      <c r="Y235" s="50">
        <f t="shared" si="153"/>
        <v>8.3980748914436187E-3</v>
      </c>
      <c r="Z235" s="84">
        <f t="shared" si="144"/>
        <v>1.0104849674247922</v>
      </c>
      <c r="AA235" s="89">
        <f t="shared" si="149"/>
        <v>2</v>
      </c>
      <c r="AB235" s="5">
        <f t="shared" si="150"/>
        <v>-3.1864706213413641E-2</v>
      </c>
    </row>
    <row r="236" spans="1:28" ht="13.5" customHeight="1">
      <c r="A236" s="17">
        <f t="shared" si="145"/>
        <v>800</v>
      </c>
      <c r="B236" s="5">
        <f t="shared" si="146"/>
        <v>23.70383958402439</v>
      </c>
      <c r="D236" s="64">
        <f t="shared" si="156"/>
        <v>2.0014487297417913</v>
      </c>
      <c r="E236" s="54">
        <f t="shared" si="138"/>
        <v>7.8661554153206523E-4</v>
      </c>
      <c r="F236" s="63">
        <f t="shared" si="141"/>
        <v>2.0022353452833235</v>
      </c>
      <c r="G236" s="17">
        <f t="shared" ref="G236:K245" si="158">200*PI()*G$50*((G$24-$A236)*(ASINH(G$32/MAX(ABS(G$24-$A236),0.000001))-ASINH(G$28/MAX(ABS(G$24-$A236),0.000001)))-(G$22-$A236)*(ASINH(G$32/MAX(ABS(G$22-$A236),0.000001))-ASINH(G$28/MAX(ABS(G$22-$A236),0.000001))))</f>
        <v>0.67793255361305016</v>
      </c>
      <c r="H236" s="17">
        <f t="shared" si="158"/>
        <v>1.0408788102981144</v>
      </c>
      <c r="I236" s="17">
        <f t="shared" si="158"/>
        <v>1.4888401040768582</v>
      </c>
      <c r="J236" s="17">
        <f t="shared" si="158"/>
        <v>2.0238785331609135</v>
      </c>
      <c r="K236" s="17">
        <f t="shared" si="158"/>
        <v>2.6346254141717154</v>
      </c>
      <c r="L236" s="63">
        <f t="shared" si="157"/>
        <v>0.15052789408873868</v>
      </c>
      <c r="M236" s="17">
        <f t="shared" ref="M236:X245" si="159">200*PI()*M$50*((M$24-$A236)*(ASINH(M$32/MAX(ABS(M$24-$A236),0.000001))-ASINH(M$28/MAX(ABS(M$24-$A236),0.000001)))-(M$22-$A236)*(ASINH(M$32/MAX(ABS(M$22-$A236),0.000001))-ASINH(M$28/MAX(ABS(M$22-$A236),0.000001))))</f>
        <v>559.22041293084533</v>
      </c>
      <c r="N236" s="17">
        <f t="shared" si="159"/>
        <v>951.57966356274574</v>
      </c>
      <c r="O236" s="17">
        <f t="shared" si="159"/>
        <v>603.70591725738382</v>
      </c>
      <c r="P236" s="17">
        <f t="shared" si="159"/>
        <v>1983.2325456781678</v>
      </c>
      <c r="Q236" s="17">
        <f t="shared" si="159"/>
        <v>12138.892789651007</v>
      </c>
      <c r="R236" s="17">
        <f t="shared" si="159"/>
        <v>1237.1500535459584</v>
      </c>
      <c r="S236" s="17">
        <f t="shared" si="159"/>
        <v>411.43630378026484</v>
      </c>
      <c r="T236" s="17">
        <f t="shared" si="159"/>
        <v>517.70206843377753</v>
      </c>
      <c r="U236" s="17">
        <f t="shared" si="159"/>
        <v>24.939347532098935</v>
      </c>
      <c r="V236" s="17">
        <f t="shared" si="159"/>
        <v>17.999060161698932</v>
      </c>
      <c r="W236" s="17">
        <f t="shared" si="159"/>
        <v>45.554471431514607</v>
      </c>
      <c r="X236" s="17">
        <f t="shared" si="159"/>
        <v>17.795722565063652</v>
      </c>
      <c r="Y236" s="50">
        <f t="shared" si="153"/>
        <v>7.5376418500550102E-3</v>
      </c>
      <c r="Z236" s="84">
        <f t="shared" si="144"/>
        <v>1.00044336236938</v>
      </c>
      <c r="AA236" s="89">
        <f t="shared" si="149"/>
        <v>2</v>
      </c>
      <c r="AB236" s="5">
        <f t="shared" si="150"/>
        <v>-7.2436487089566626E-2</v>
      </c>
    </row>
    <row r="237" spans="1:28" ht="13.5" customHeight="1">
      <c r="A237" s="17">
        <f t="shared" si="145"/>
        <v>810</v>
      </c>
      <c r="B237" s="5">
        <f t="shared" si="146"/>
        <v>23.699892401410988</v>
      </c>
      <c r="D237" s="64">
        <f t="shared" si="156"/>
        <v>2.0021448224942793</v>
      </c>
      <c r="E237" s="54">
        <f t="shared" si="138"/>
        <v>7.5751709781627155E-4</v>
      </c>
      <c r="F237" s="63">
        <f t="shared" si="141"/>
        <v>2.0029023395920955</v>
      </c>
      <c r="G237" s="17">
        <f t="shared" si="158"/>
        <v>0.65282020310454392</v>
      </c>
      <c r="H237" s="17">
        <f t="shared" si="158"/>
        <v>1.002335794864627</v>
      </c>
      <c r="I237" s="17">
        <f t="shared" si="158"/>
        <v>1.4337363421213809</v>
      </c>
      <c r="J237" s="17">
        <f t="shared" si="158"/>
        <v>1.9490205683830191</v>
      </c>
      <c r="K237" s="17">
        <f t="shared" si="158"/>
        <v>2.5372580696891442</v>
      </c>
      <c r="L237" s="63">
        <f t="shared" si="157"/>
        <v>0.14518186781450315</v>
      </c>
      <c r="M237" s="17">
        <f t="shared" si="159"/>
        <v>534.40264227439218</v>
      </c>
      <c r="N237" s="17">
        <f t="shared" si="159"/>
        <v>862.01442807738579</v>
      </c>
      <c r="O237" s="17">
        <f t="shared" si="159"/>
        <v>536.39688508333131</v>
      </c>
      <c r="P237" s="17">
        <f t="shared" si="159"/>
        <v>1756.7421170359414</v>
      </c>
      <c r="Q237" s="17">
        <f t="shared" si="159"/>
        <v>12365.046914331724</v>
      </c>
      <c r="R237" s="17">
        <f t="shared" si="159"/>
        <v>1388.0322121408481</v>
      </c>
      <c r="S237" s="17">
        <f t="shared" si="159"/>
        <v>457.08636964464677</v>
      </c>
      <c r="T237" s="17">
        <f t="shared" si="159"/>
        <v>559.77333839769631</v>
      </c>
      <c r="U237" s="17">
        <f t="shared" si="159"/>
        <v>26.072297853638453</v>
      </c>
      <c r="V237" s="17">
        <f t="shared" si="159"/>
        <v>18.732232971670928</v>
      </c>
      <c r="W237" s="17">
        <f t="shared" si="159"/>
        <v>47.080803055497299</v>
      </c>
      <c r="X237" s="17">
        <f t="shared" si="159"/>
        <v>18.249305930983695</v>
      </c>
      <c r="Y237" s="50">
        <f t="shared" si="153"/>
        <v>6.2050277951697375E-3</v>
      </c>
      <c r="Z237" s="84">
        <f t="shared" si="144"/>
        <v>0.99100155556642133</v>
      </c>
      <c r="AA237" s="89">
        <f t="shared" si="149"/>
        <v>2</v>
      </c>
      <c r="AB237" s="5">
        <f t="shared" si="150"/>
        <v>-0.10724112471396374</v>
      </c>
    </row>
    <row r="238" spans="1:28" ht="13.5" customHeight="1">
      <c r="A238" s="17">
        <f t="shared" si="145"/>
        <v>820</v>
      </c>
      <c r="B238" s="5">
        <f t="shared" si="146"/>
        <v>23.696832826338053</v>
      </c>
      <c r="D238" s="64">
        <f t="shared" si="156"/>
        <v>2.0026897353008253</v>
      </c>
      <c r="E238" s="54">
        <f t="shared" si="138"/>
        <v>7.2984013637917547E-4</v>
      </c>
      <c r="F238" s="63">
        <f t="shared" si="141"/>
        <v>2.0034195754372046</v>
      </c>
      <c r="G238" s="17">
        <f t="shared" si="158"/>
        <v>0.6289366890358935</v>
      </c>
      <c r="H238" s="17">
        <f t="shared" si="158"/>
        <v>0.96567799012504518</v>
      </c>
      <c r="I238" s="17">
        <f t="shared" si="158"/>
        <v>1.3813261757251383</v>
      </c>
      <c r="J238" s="17">
        <f t="shared" si="158"/>
        <v>1.8778189127778635</v>
      </c>
      <c r="K238" s="17">
        <f t="shared" si="158"/>
        <v>2.4446415961278132</v>
      </c>
      <c r="L238" s="63">
        <f t="shared" si="157"/>
        <v>0.14008589171552902</v>
      </c>
      <c r="M238" s="17">
        <f t="shared" si="159"/>
        <v>511.01308812097801</v>
      </c>
      <c r="N238" s="17">
        <f t="shared" si="159"/>
        <v>782.78067846794738</v>
      </c>
      <c r="O238" s="17">
        <f t="shared" si="159"/>
        <v>477.5536666008511</v>
      </c>
      <c r="P238" s="17">
        <f t="shared" si="159"/>
        <v>1555.0054385271362</v>
      </c>
      <c r="Q238" s="17">
        <f t="shared" si="159"/>
        <v>12510.460523840915</v>
      </c>
      <c r="R238" s="17">
        <f t="shared" si="159"/>
        <v>1559.1567579506079</v>
      </c>
      <c r="S238" s="17">
        <f t="shared" si="159"/>
        <v>509.30625376069332</v>
      </c>
      <c r="T238" s="17">
        <f t="shared" si="159"/>
        <v>606.58693567900445</v>
      </c>
      <c r="U238" s="17">
        <f t="shared" si="159"/>
        <v>27.274416891290308</v>
      </c>
      <c r="V238" s="17">
        <f t="shared" si="159"/>
        <v>19.505539436708222</v>
      </c>
      <c r="W238" s="17">
        <f t="shared" si="159"/>
        <v>48.676731417337322</v>
      </c>
      <c r="X238" s="17">
        <f t="shared" si="159"/>
        <v>18.718405159491681</v>
      </c>
      <c r="Y238" s="50">
        <f t="shared" si="153"/>
        <v>4.5802448894560754E-3</v>
      </c>
      <c r="Z238" s="84">
        <f t="shared" si="144"/>
        <v>0.98211050379648468</v>
      </c>
      <c r="AA238" s="89">
        <f t="shared" ref="AA238:AA269" si="160">$D$1</f>
        <v>2</v>
      </c>
      <c r="AB238" s="5">
        <f t="shared" ref="AB238:AB269" si="161">100*(1-D238/AA238)</f>
        <v>-0.134486765041264</v>
      </c>
    </row>
    <row r="239" spans="1:28" ht="13.5" customHeight="1">
      <c r="A239" s="17">
        <f t="shared" si="145"/>
        <v>830</v>
      </c>
      <c r="B239" s="5">
        <f t="shared" si="146"/>
        <v>23.694793940301704</v>
      </c>
      <c r="D239" s="64">
        <f t="shared" si="156"/>
        <v>2.0030608714721705</v>
      </c>
      <c r="E239" s="54">
        <f t="shared" si="138"/>
        <v>7.0349868655196349E-4</v>
      </c>
      <c r="F239" s="63">
        <f t="shared" si="141"/>
        <v>2.0037643701587227</v>
      </c>
      <c r="G239" s="17">
        <f t="shared" si="158"/>
        <v>0.60620754117039666</v>
      </c>
      <c r="H239" s="17">
        <f t="shared" si="158"/>
        <v>0.93079120993867226</v>
      </c>
      <c r="I239" s="17">
        <f t="shared" si="158"/>
        <v>1.3314465740605987</v>
      </c>
      <c r="J239" s="17">
        <f t="shared" si="158"/>
        <v>1.8100524741768553</v>
      </c>
      <c r="K239" s="17">
        <f t="shared" si="158"/>
        <v>2.3564890661731108</v>
      </c>
      <c r="L239" s="63">
        <f t="shared" si="157"/>
        <v>0.13522554336354142</v>
      </c>
      <c r="M239" s="17">
        <f t="shared" si="159"/>
        <v>488.9518167612498</v>
      </c>
      <c r="N239" s="17">
        <f t="shared" si="159"/>
        <v>712.52853259840867</v>
      </c>
      <c r="O239" s="17">
        <f t="shared" si="159"/>
        <v>426.11067396112765</v>
      </c>
      <c r="P239" s="17">
        <f t="shared" si="159"/>
        <v>1376.6467030998592</v>
      </c>
      <c r="Q239" s="17">
        <f t="shared" si="159"/>
        <v>12575.028271644347</v>
      </c>
      <c r="R239" s="17">
        <f t="shared" si="159"/>
        <v>1752.6140616797538</v>
      </c>
      <c r="S239" s="17">
        <f t="shared" si="159"/>
        <v>569.22318230071153</v>
      </c>
      <c r="T239" s="17">
        <f t="shared" si="159"/>
        <v>658.82727731583566</v>
      </c>
      <c r="U239" s="17">
        <f t="shared" si="159"/>
        <v>28.551023732236619</v>
      </c>
      <c r="V239" s="17">
        <f t="shared" si="159"/>
        <v>20.321746887312042</v>
      </c>
      <c r="W239" s="17">
        <f t="shared" si="159"/>
        <v>50.346303057519897</v>
      </c>
      <c r="X239" s="17">
        <f t="shared" si="159"/>
        <v>19.203688047927926</v>
      </c>
      <c r="Y239" s="50">
        <f t="shared" si="153"/>
        <v>2.7357913575176696E-3</v>
      </c>
      <c r="Z239" s="84">
        <f t="shared" si="144"/>
        <v>0.97372598081030848</v>
      </c>
      <c r="AA239" s="89">
        <f t="shared" si="160"/>
        <v>2</v>
      </c>
      <c r="AB239" s="5">
        <f t="shared" si="161"/>
        <v>-0.1530435736085245</v>
      </c>
    </row>
    <row r="240" spans="1:28" ht="13.5" customHeight="1">
      <c r="A240" s="17">
        <f t="shared" si="145"/>
        <v>840</v>
      </c>
      <c r="B240" s="5">
        <f t="shared" si="146"/>
        <v>23.693901568867268</v>
      </c>
      <c r="D240" s="64">
        <f t="shared" si="156"/>
        <v>2.0032368935723288</v>
      </c>
      <c r="E240" s="54">
        <f t="shared" si="138"/>
        <v>6.7841295727979166E-4</v>
      </c>
      <c r="F240" s="63">
        <f t="shared" si="141"/>
        <v>2.0039153065296085</v>
      </c>
      <c r="G240" s="17">
        <f t="shared" si="158"/>
        <v>0.58456365680814559</v>
      </c>
      <c r="H240" s="17">
        <f t="shared" si="158"/>
        <v>0.89756949028543576</v>
      </c>
      <c r="I240" s="17">
        <f t="shared" si="158"/>
        <v>1.2839462328489748</v>
      </c>
      <c r="J240" s="17">
        <f t="shared" si="158"/>
        <v>1.7455160507015768</v>
      </c>
      <c r="K240" s="17">
        <f t="shared" si="158"/>
        <v>2.2725341421537832</v>
      </c>
      <c r="L240" s="63">
        <f t="shared" si="157"/>
        <v>0.13058738380261048</v>
      </c>
      <c r="M240" s="17">
        <f t="shared" si="159"/>
        <v>468.12705562730162</v>
      </c>
      <c r="N240" s="17">
        <f t="shared" si="159"/>
        <v>650.09464465235362</v>
      </c>
      <c r="O240" s="17">
        <f t="shared" si="159"/>
        <v>381.10648409444889</v>
      </c>
      <c r="P240" s="17">
        <f t="shared" si="159"/>
        <v>1219.767099291623</v>
      </c>
      <c r="Q240" s="17">
        <f t="shared" si="159"/>
        <v>12558.779020368069</v>
      </c>
      <c r="R240" s="17">
        <f t="shared" si="159"/>
        <v>1970.2542555963182</v>
      </c>
      <c r="S240" s="17">
        <f t="shared" si="159"/>
        <v>638.17718986597129</v>
      </c>
      <c r="T240" s="17">
        <f t="shared" si="159"/>
        <v>717.29785350661621</v>
      </c>
      <c r="U240" s="17">
        <f t="shared" si="159"/>
        <v>29.907931901171501</v>
      </c>
      <c r="V240" s="17">
        <f t="shared" si="159"/>
        <v>21.183853356746379</v>
      </c>
      <c r="W240" s="17">
        <f t="shared" si="159"/>
        <v>52.093852325659626</v>
      </c>
      <c r="X240" s="17">
        <f t="shared" si="159"/>
        <v>19.705857110900617</v>
      </c>
      <c r="Y240" s="50">
        <f t="shared" si="153"/>
        <v>6.2153902334216582E-4</v>
      </c>
      <c r="Z240" s="84">
        <f t="shared" si="144"/>
        <v>0.96580798304807625</v>
      </c>
      <c r="AA240" s="89">
        <f t="shared" si="160"/>
        <v>2</v>
      </c>
      <c r="AB240" s="5">
        <f t="shared" si="161"/>
        <v>-0.1618446786164407</v>
      </c>
    </row>
    <row r="241" spans="1:28" ht="13.5" customHeight="1">
      <c r="A241" s="17">
        <f t="shared" si="145"/>
        <v>850</v>
      </c>
      <c r="B241" s="5">
        <f t="shared" si="146"/>
        <v>23.694348630254538</v>
      </c>
      <c r="D241" s="64">
        <f t="shared" si="156"/>
        <v>2.0031851792768389</v>
      </c>
      <c r="E241" s="54">
        <f t="shared" si="138"/>
        <v>6.545088241486554E-4</v>
      </c>
      <c r="F241" s="63">
        <f t="shared" si="141"/>
        <v>2.0038396881009874</v>
      </c>
      <c r="G241" s="17">
        <f t="shared" si="158"/>
        <v>0.56394085096327806</v>
      </c>
      <c r="H241" s="17">
        <f t="shared" si="158"/>
        <v>0.86591440440808698</v>
      </c>
      <c r="I241" s="17">
        <f t="shared" si="158"/>
        <v>1.2386846041442467</v>
      </c>
      <c r="J241" s="17">
        <f t="shared" si="158"/>
        <v>1.6840190093849656</v>
      </c>
      <c r="K241" s="17">
        <f t="shared" si="158"/>
        <v>2.1925293725859758</v>
      </c>
      <c r="L241" s="63">
        <f t="shared" si="157"/>
        <v>0.12615888057313243</v>
      </c>
      <c r="M241" s="17">
        <f t="shared" si="159"/>
        <v>448.45443728978165</v>
      </c>
      <c r="N241" s="17">
        <f t="shared" si="159"/>
        <v>594.47738826519196</v>
      </c>
      <c r="O241" s="17">
        <f t="shared" si="159"/>
        <v>341.68827359826253</v>
      </c>
      <c r="P241" s="17">
        <f t="shared" si="159"/>
        <v>1082.2406530326855</v>
      </c>
      <c r="Q241" s="17">
        <f t="shared" si="159"/>
        <v>12461.701092341635</v>
      </c>
      <c r="R241" s="17">
        <f t="shared" si="159"/>
        <v>2213.3999560069819</v>
      </c>
      <c r="S241" s="17">
        <f t="shared" si="159"/>
        <v>717.7600458191348</v>
      </c>
      <c r="T241" s="17">
        <f t="shared" si="159"/>
        <v>782.94484977303364</v>
      </c>
      <c r="U241" s="17">
        <f t="shared" si="159"/>
        <v>31.351503345260166</v>
      </c>
      <c r="V241" s="17">
        <f t="shared" si="159"/>
        <v>22.095110173235497</v>
      </c>
      <c r="W241" s="17">
        <f t="shared" si="159"/>
        <v>53.924025694217242</v>
      </c>
      <c r="X241" s="17">
        <f t="shared" si="159"/>
        <v>20.225651697645507</v>
      </c>
      <c r="Y241" s="50">
        <f t="shared" si="153"/>
        <v>-1.9342265895105903E-3</v>
      </c>
      <c r="Z241" s="84">
        <f t="shared" si="144"/>
        <v>0.95832021252114097</v>
      </c>
      <c r="AA241" s="89">
        <f t="shared" si="160"/>
        <v>2</v>
      </c>
      <c r="AB241" s="5">
        <f t="shared" si="161"/>
        <v>-0.15925896384194616</v>
      </c>
    </row>
    <row r="242" spans="1:28" ht="13.5" customHeight="1">
      <c r="A242" s="17">
        <f t="shared" si="145"/>
        <v>860</v>
      </c>
      <c r="B242" s="5">
        <f t="shared" si="146"/>
        <v>23.696465036178658</v>
      </c>
      <c r="D242" s="64">
        <f t="shared" si="156"/>
        <v>2.0028500482544267</v>
      </c>
      <c r="E242" s="54">
        <f t="shared" si="138"/>
        <v>6.3171736363911248E-4</v>
      </c>
      <c r="F242" s="63">
        <f t="shared" si="141"/>
        <v>2.0034817656180657</v>
      </c>
      <c r="G242" s="17">
        <f t="shared" si="158"/>
        <v>0.54427945133931266</v>
      </c>
      <c r="H242" s="17">
        <f t="shared" si="158"/>
        <v>0.83573444359678017</v>
      </c>
      <c r="I242" s="17">
        <f t="shared" si="158"/>
        <v>1.1955310095798286</v>
      </c>
      <c r="J242" s="17">
        <f t="shared" si="158"/>
        <v>1.6253840906962422</v>
      </c>
      <c r="K242" s="17">
        <f t="shared" si="158"/>
        <v>2.1162446411789606</v>
      </c>
      <c r="L242" s="63">
        <f t="shared" si="157"/>
        <v>0.12192833750036343</v>
      </c>
      <c r="M242" s="17">
        <f t="shared" si="159"/>
        <v>429.8563212166647</v>
      </c>
      <c r="N242" s="17">
        <f t="shared" si="159"/>
        <v>544.814493951955</v>
      </c>
      <c r="O242" s="17">
        <f t="shared" si="159"/>
        <v>307.10840814986932</v>
      </c>
      <c r="P242" s="17">
        <f t="shared" si="159"/>
        <v>961.91100501721803</v>
      </c>
      <c r="Q242" s="17">
        <f t="shared" si="159"/>
        <v>12283.786455811764</v>
      </c>
      <c r="R242" s="17">
        <f t="shared" si="159"/>
        <v>2482.4428067108674</v>
      </c>
      <c r="S242" s="17">
        <f t="shared" si="159"/>
        <v>809.85844436185471</v>
      </c>
      <c r="T242" s="17">
        <f t="shared" si="159"/>
        <v>856.88575727063483</v>
      </c>
      <c r="U242" s="17">
        <f t="shared" si="159"/>
        <v>32.888709195329525</v>
      </c>
      <c r="V242" s="17">
        <f t="shared" si="159"/>
        <v>23.059047112200538</v>
      </c>
      <c r="W242" s="17">
        <f t="shared" si="159"/>
        <v>55.841808479456112</v>
      </c>
      <c r="X242" s="17">
        <f t="shared" si="159"/>
        <v>20.763850262817929</v>
      </c>
      <c r="Y242" s="50">
        <f t="shared" si="153"/>
        <v>-5.2100841030111589E-3</v>
      </c>
      <c r="Z242" s="84">
        <f t="shared" si="144"/>
        <v>0.95122962505123931</v>
      </c>
      <c r="AA242" s="89">
        <f t="shared" si="160"/>
        <v>2</v>
      </c>
      <c r="AB242" s="5">
        <f t="shared" si="161"/>
        <v>-0.14250241272133479</v>
      </c>
    </row>
    <row r="243" spans="1:28" ht="13.5" customHeight="1">
      <c r="A243" s="17">
        <f t="shared" si="145"/>
        <v>870</v>
      </c>
      <c r="B243" s="5">
        <f t="shared" si="146"/>
        <v>23.700775191730145</v>
      </c>
      <c r="D243" s="64">
        <f t="shared" si="156"/>
        <v>2.0021431624562367</v>
      </c>
      <c r="E243" s="54">
        <f t="shared" ref="E243:E251" si="162">0.0001*SUM(G243:K243)</f>
        <v>6.0997443240155185E-4</v>
      </c>
      <c r="F243" s="63">
        <f t="shared" si="141"/>
        <v>2.0027531368886384</v>
      </c>
      <c r="G243" s="17">
        <f t="shared" si="158"/>
        <v>0.52552393447159618</v>
      </c>
      <c r="H243" s="17">
        <f t="shared" si="158"/>
        <v>0.80694445528802849</v>
      </c>
      <c r="I243" s="17">
        <f t="shared" si="158"/>
        <v>1.1543638406027779</v>
      </c>
      <c r="J243" s="17">
        <f t="shared" si="158"/>
        <v>1.5694463272651971</v>
      </c>
      <c r="K243" s="17">
        <f t="shared" si="158"/>
        <v>2.0434657663879179</v>
      </c>
      <c r="L243" s="63">
        <f t="shared" si="157"/>
        <v>0.11788483059086474</v>
      </c>
      <c r="M243" s="17">
        <f t="shared" si="159"/>
        <v>412.26118456771206</v>
      </c>
      <c r="N243" s="17">
        <f t="shared" si="159"/>
        <v>500.36329768226904</v>
      </c>
      <c r="O243" s="17">
        <f t="shared" si="159"/>
        <v>276.71678133755921</v>
      </c>
      <c r="P243" s="17">
        <f t="shared" si="159"/>
        <v>856.71238518173175</v>
      </c>
      <c r="Q243" s="17">
        <f t="shared" si="159"/>
        <v>12025.291668909051</v>
      </c>
      <c r="R243" s="17">
        <f t="shared" si="159"/>
        <v>2776.3139617491138</v>
      </c>
      <c r="S243" s="17">
        <f t="shared" si="159"/>
        <v>916.69956267742418</v>
      </c>
      <c r="T243" s="17">
        <f t="shared" si="159"/>
        <v>940.44395084941038</v>
      </c>
      <c r="U243" s="17">
        <f t="shared" si="159"/>
        <v>34.527198275775199</v>
      </c>
      <c r="V243" s="17">
        <f t="shared" si="159"/>
        <v>24.079500417175637</v>
      </c>
      <c r="W243" s="17">
        <f t="shared" si="159"/>
        <v>57.852554210743527</v>
      </c>
      <c r="X243" s="17">
        <f t="shared" si="159"/>
        <v>21.32127279575214</v>
      </c>
      <c r="Y243" s="50">
        <f t="shared" si="153"/>
        <v>-9.5589227242776076E-3</v>
      </c>
      <c r="Z243" s="84">
        <f t="shared" si="144"/>
        <v>0.94450603361929686</v>
      </c>
      <c r="AA243" s="89">
        <f t="shared" si="160"/>
        <v>2</v>
      </c>
      <c r="AB243" s="5">
        <f t="shared" si="161"/>
        <v>-0.10715812281183457</v>
      </c>
    </row>
    <row r="244" spans="1:28" ht="13.5" customHeight="1">
      <c r="A244" s="17">
        <f t="shared" si="145"/>
        <v>880</v>
      </c>
      <c r="B244" s="5">
        <f t="shared" si="146"/>
        <v>23.708030769845234</v>
      </c>
      <c r="D244" s="64">
        <f t="shared" si="156"/>
        <v>2.0009382637095712</v>
      </c>
      <c r="E244" s="54">
        <f t="shared" si="162"/>
        <v>5.8922028316427935E-4</v>
      </c>
      <c r="F244" s="63">
        <f t="shared" si="141"/>
        <v>2.0015274839927355</v>
      </c>
      <c r="G244" s="17">
        <f t="shared" si="158"/>
        <v>0.5076225890228192</v>
      </c>
      <c r="H244" s="17">
        <f t="shared" si="158"/>
        <v>0.77946513240247783</v>
      </c>
      <c r="I244" s="17">
        <f t="shared" si="158"/>
        <v>1.1150698306681766</v>
      </c>
      <c r="J244" s="17">
        <f t="shared" si="158"/>
        <v>1.5160520539358346</v>
      </c>
      <c r="K244" s="17">
        <f t="shared" si="158"/>
        <v>1.9739932256134844</v>
      </c>
      <c r="L244" s="63">
        <f t="shared" si="157"/>
        <v>0.11401814945036187</v>
      </c>
      <c r="M244" s="17">
        <f t="shared" si="159"/>
        <v>395.60307433611609</v>
      </c>
      <c r="N244" s="17">
        <f t="shared" si="159"/>
        <v>460.48353312194615</v>
      </c>
      <c r="O244" s="17">
        <f t="shared" si="159"/>
        <v>249.95120689365336</v>
      </c>
      <c r="P244" s="17">
        <f t="shared" si="159"/>
        <v>764.73648544388652</v>
      </c>
      <c r="Q244" s="17">
        <f t="shared" si="159"/>
        <v>11687.199566461659</v>
      </c>
      <c r="R244" s="17">
        <f t="shared" si="159"/>
        <v>3091.8452296625323</v>
      </c>
      <c r="S244" s="17">
        <f t="shared" si="159"/>
        <v>1040.8949218505225</v>
      </c>
      <c r="T244" s="17">
        <f t="shared" si="159"/>
        <v>1035.1903059198567</v>
      </c>
      <c r="U244" s="17">
        <f t="shared" si="159"/>
        <v>36.275374464338896</v>
      </c>
      <c r="V244" s="17">
        <f t="shared" si="159"/>
        <v>25.160644057099333</v>
      </c>
      <c r="W244" s="17">
        <f t="shared" si="159"/>
        <v>59.962016964243666</v>
      </c>
      <c r="X244" s="17">
        <f t="shared" si="159"/>
        <v>21.898783416238157</v>
      </c>
      <c r="Y244" s="50">
        <f t="shared" si="153"/>
        <v>-1.5346879970363769E-2</v>
      </c>
      <c r="Z244" s="84">
        <f t="shared" si="144"/>
        <v>0.93812175789597341</v>
      </c>
      <c r="AA244" s="89">
        <f t="shared" si="160"/>
        <v>2</v>
      </c>
      <c r="AB244" s="5">
        <f t="shared" si="161"/>
        <v>-4.6913185478558717E-2</v>
      </c>
    </row>
    <row r="245" spans="1:28" ht="13.5" customHeight="1">
      <c r="A245" s="17">
        <f t="shared" si="145"/>
        <v>890</v>
      </c>
      <c r="B245" s="5">
        <f t="shared" si="146"/>
        <v>23.719198383056465</v>
      </c>
      <c r="D245" s="64">
        <f t="shared" si="156"/>
        <v>1.9990737864621639</v>
      </c>
      <c r="E245" s="54">
        <f t="shared" si="162"/>
        <v>5.693992170660117E-4</v>
      </c>
      <c r="F245" s="63">
        <f t="shared" si="141"/>
        <v>1.9996431856792301</v>
      </c>
      <c r="G245" s="17">
        <f t="shared" si="158"/>
        <v>0.49052721654921611</v>
      </c>
      <c r="H245" s="17">
        <f t="shared" si="158"/>
        <v>0.75322254944981315</v>
      </c>
      <c r="I245" s="17">
        <f t="shared" si="158"/>
        <v>1.077543393518025</v>
      </c>
      <c r="J245" s="17">
        <f t="shared" si="158"/>
        <v>1.465058016328401</v>
      </c>
      <c r="K245" s="17">
        <f t="shared" si="158"/>
        <v>1.9076409948146613</v>
      </c>
      <c r="L245" s="63">
        <f t="shared" si="157"/>
        <v>0.11031874369847607</v>
      </c>
      <c r="M245" s="17">
        <f t="shared" si="159"/>
        <v>379.82111409093517</v>
      </c>
      <c r="N245" s="17">
        <f t="shared" si="159"/>
        <v>424.62248117710874</v>
      </c>
      <c r="O245" s="17">
        <f t="shared" si="159"/>
        <v>226.3272771178992</v>
      </c>
      <c r="P245" s="17">
        <f t="shared" si="159"/>
        <v>684.2629178353219</v>
      </c>
      <c r="Q245" s="17">
        <f t="shared" si="159"/>
        <v>11271.840013643945</v>
      </c>
      <c r="R245" s="17">
        <f t="shared" si="159"/>
        <v>3423.0856168399077</v>
      </c>
      <c r="S245" s="17">
        <f t="shared" si="159"/>
        <v>1185.4748831206032</v>
      </c>
      <c r="T245" s="17">
        <f t="shared" si="159"/>
        <v>1142.9929347468092</v>
      </c>
      <c r="U245" s="17">
        <f t="shared" si="159"/>
        <v>38.142484211300996</v>
      </c>
      <c r="V245" s="17">
        <f t="shared" si="159"/>
        <v>26.307024669672348</v>
      </c>
      <c r="W245" s="17">
        <f t="shared" si="159"/>
        <v>62.176387009329872</v>
      </c>
      <c r="X245" s="17">
        <f t="shared" si="159"/>
        <v>22.497293174042287</v>
      </c>
      <c r="Y245" s="50">
        <f t="shared" si="153"/>
        <v>-2.2848433703086535E-2</v>
      </c>
      <c r="Z245" s="84">
        <f t="shared" si="144"/>
        <v>0.9320513121124383</v>
      </c>
      <c r="AA245" s="89">
        <f t="shared" si="160"/>
        <v>2</v>
      </c>
      <c r="AB245" s="5">
        <f t="shared" si="161"/>
        <v>4.6310676891803126E-2</v>
      </c>
    </row>
    <row r="246" spans="1:28" ht="13.5" customHeight="1">
      <c r="A246" s="17">
        <f t="shared" si="145"/>
        <v>900</v>
      </c>
      <c r="B246" s="5">
        <f t="shared" si="146"/>
        <v>23.735371452295311</v>
      </c>
      <c r="D246" s="64">
        <f t="shared" si="156"/>
        <v>1.9963685769689539</v>
      </c>
      <c r="E246" s="54">
        <f t="shared" si="162"/>
        <v>5.5045926591622068E-4</v>
      </c>
      <c r="F246" s="63">
        <f t="shared" si="141"/>
        <v>1.9969190362348701</v>
      </c>
      <c r="G246" s="17">
        <f t="shared" ref="G246:K255" si="163">200*PI()*G$50*((G$24-$A246)*(ASINH(G$32/MAX(ABS(G$24-$A246),0.000001))-ASINH(G$28/MAX(ABS(G$24-$A246),0.000001)))-(G$22-$A246)*(ASINH(G$32/MAX(ABS(G$22-$A246),0.000001))-ASINH(G$28/MAX(ABS(G$22-$A246),0.000001))))</f>
        <v>0.4741928508200986</v>
      </c>
      <c r="H246" s="17">
        <f t="shared" si="163"/>
        <v>0.72814773972278835</v>
      </c>
      <c r="I246" s="17">
        <f t="shared" si="163"/>
        <v>1.0416860204363931</v>
      </c>
      <c r="J246" s="17">
        <f t="shared" si="163"/>
        <v>1.4163305542154945</v>
      </c>
      <c r="K246" s="17">
        <f t="shared" si="163"/>
        <v>1.8442354939674315</v>
      </c>
      <c r="L246" s="63">
        <f t="shared" si="157"/>
        <v>0.10677767390812443</v>
      </c>
      <c r="M246" s="17">
        <f t="shared" ref="M246:X255" si="164">200*PI()*M$50*((M$24-$A246)*(ASINH(M$32/MAX(ABS(M$24-$A246),0.000001))-ASINH(M$28/MAX(ABS(M$24-$A246),0.000001)))-(M$22-$A246)*(ASINH(M$32/MAX(ABS(M$22-$A246),0.000001))-ASINH(M$28/MAX(ABS(M$22-$A246),0.000001))))</f>
        <v>364.85905935693728</v>
      </c>
      <c r="N246" s="17">
        <f t="shared" si="164"/>
        <v>392.30223704764444</v>
      </c>
      <c r="O246" s="17">
        <f t="shared" si="164"/>
        <v>205.42850653743747</v>
      </c>
      <c r="P246" s="17">
        <f t="shared" si="164"/>
        <v>613.7665207889155</v>
      </c>
      <c r="Q246" s="17">
        <f t="shared" si="164"/>
        <v>10783.585608273235</v>
      </c>
      <c r="R246" s="17">
        <f t="shared" si="164"/>
        <v>3760.708357722976</v>
      </c>
      <c r="S246" s="17">
        <f t="shared" si="164"/>
        <v>1353.9003706345209</v>
      </c>
      <c r="T246" s="17">
        <f t="shared" si="164"/>
        <v>1266.0759607376767</v>
      </c>
      <c r="U246" s="17">
        <f t="shared" si="164"/>
        <v>40.138715700875366</v>
      </c>
      <c r="V246" s="17">
        <f t="shared" si="164"/>
        <v>27.523600645038783</v>
      </c>
      <c r="W246" s="17">
        <f t="shared" si="164"/>
        <v>64.502330128048783</v>
      </c>
      <c r="X246" s="17">
        <f t="shared" si="164"/>
        <v>23.117763034989277</v>
      </c>
      <c r="Y246" s="50">
        <f t="shared" si="153"/>
        <v>-3.2082790547260931E-2</v>
      </c>
      <c r="Z246" s="84">
        <f t="shared" si="144"/>
        <v>0.92627112428994218</v>
      </c>
      <c r="AA246" s="89">
        <f t="shared" si="160"/>
        <v>2</v>
      </c>
      <c r="AB246" s="5">
        <f t="shared" si="161"/>
        <v>0.18157115155230663</v>
      </c>
    </row>
    <row r="247" spans="1:28" ht="13.5" customHeight="1">
      <c r="A247" s="17">
        <f t="shared" si="145"/>
        <v>910</v>
      </c>
      <c r="B247" s="5">
        <f t="shared" si="146"/>
        <v>23.757566695306725</v>
      </c>
      <c r="D247" s="64">
        <f t="shared" si="156"/>
        <v>1.9926572283527118</v>
      </c>
      <c r="E247" s="54">
        <f t="shared" si="162"/>
        <v>5.3235190419681315E-4</v>
      </c>
      <c r="F247" s="63">
        <f t="shared" si="141"/>
        <v>1.9931895802569086</v>
      </c>
      <c r="G247" s="17">
        <f t="shared" si="163"/>
        <v>0.45857751235737437</v>
      </c>
      <c r="H247" s="17">
        <f t="shared" si="163"/>
        <v>0.70417631263681224</v>
      </c>
      <c r="I247" s="17">
        <f t="shared" si="163"/>
        <v>1.0074057334294315</v>
      </c>
      <c r="J247" s="17">
        <f t="shared" si="163"/>
        <v>1.369744859497761</v>
      </c>
      <c r="K247" s="17">
        <f t="shared" si="163"/>
        <v>1.7836146240467525</v>
      </c>
      <c r="L247" s="63">
        <f t="shared" si="157"/>
        <v>0.10338656664878761</v>
      </c>
      <c r="M247" s="17">
        <f t="shared" si="164"/>
        <v>350.66489638202245</v>
      </c>
      <c r="N247" s="17">
        <f t="shared" si="164"/>
        <v>363.10884053646316</v>
      </c>
      <c r="O247" s="17">
        <f t="shared" si="164"/>
        <v>186.89719676060972</v>
      </c>
      <c r="P247" s="17">
        <f t="shared" si="164"/>
        <v>551.91088364599295</v>
      </c>
      <c r="Q247" s="17">
        <f t="shared" si="164"/>
        <v>10229.484179235404</v>
      </c>
      <c r="R247" s="17">
        <f t="shared" si="164"/>
        <v>4091.7238602130592</v>
      </c>
      <c r="S247" s="17">
        <f t="shared" si="164"/>
        <v>1550.0296634015108</v>
      </c>
      <c r="T247" s="17">
        <f t="shared" si="164"/>
        <v>1407.0877613170492</v>
      </c>
      <c r="U247" s="17">
        <f t="shared" si="164"/>
        <v>42.275311440447169</v>
      </c>
      <c r="V247" s="17">
        <f t="shared" si="164"/>
        <v>28.815785937818802</v>
      </c>
      <c r="W247" s="17">
        <f t="shared" si="164"/>
        <v>66.947031073287746</v>
      </c>
      <c r="X247" s="17">
        <f t="shared" si="164"/>
        <v>23.761207095575305</v>
      </c>
      <c r="Y247" s="50">
        <f t="shared" si="153"/>
        <v>-4.258837747660893E-2</v>
      </c>
      <c r="Z247" s="84">
        <f t="shared" si="144"/>
        <v>0.92075928048538525</v>
      </c>
      <c r="AA247" s="89">
        <f t="shared" si="160"/>
        <v>2</v>
      </c>
      <c r="AB247" s="5">
        <f t="shared" si="161"/>
        <v>0.36713858236441244</v>
      </c>
    </row>
    <row r="248" spans="1:28" ht="13.5" customHeight="1">
      <c r="A248" s="17">
        <f t="shared" si="145"/>
        <v>920</v>
      </c>
      <c r="B248" s="5">
        <f t="shared" si="146"/>
        <v>23.786366398532223</v>
      </c>
      <c r="D248" s="64">
        <f t="shared" si="156"/>
        <v>1.9878509014736321</v>
      </c>
      <c r="E248" s="54">
        <f t="shared" si="162"/>
        <v>5.1503178446699125E-4</v>
      </c>
      <c r="F248" s="63">
        <f t="shared" si="141"/>
        <v>1.9883659332580992</v>
      </c>
      <c r="G248" s="17">
        <f t="shared" si="163"/>
        <v>0.44364197492788277</v>
      </c>
      <c r="H248" s="17">
        <f t="shared" si="163"/>
        <v>0.68124809933357056</v>
      </c>
      <c r="I248" s="17">
        <f t="shared" si="163"/>
        <v>0.97461658286200592</v>
      </c>
      <c r="J248" s="17">
        <f t="shared" si="163"/>
        <v>1.3251842970905721</v>
      </c>
      <c r="K248" s="17">
        <f t="shared" si="163"/>
        <v>1.7256268904558802</v>
      </c>
      <c r="L248" s="63">
        <f t="shared" si="157"/>
        <v>0.10013757325204004</v>
      </c>
      <c r="M248" s="17">
        <f t="shared" si="164"/>
        <v>337.19047965181636</v>
      </c>
      <c r="N248" s="17">
        <f t="shared" si="164"/>
        <v>336.68302299530717</v>
      </c>
      <c r="O248" s="17">
        <f t="shared" si="164"/>
        <v>170.42621932080257</v>
      </c>
      <c r="P248" s="17">
        <f t="shared" si="164"/>
        <v>497.53439897811472</v>
      </c>
      <c r="Q248" s="17">
        <f t="shared" si="164"/>
        <v>9619.6444929306508</v>
      </c>
      <c r="R248" s="17">
        <f t="shared" si="164"/>
        <v>4399.7699804013955</v>
      </c>
      <c r="S248" s="17">
        <f t="shared" si="164"/>
        <v>1778.0055140214863</v>
      </c>
      <c r="T248" s="17">
        <f t="shared" si="164"/>
        <v>1569.1780406999058</v>
      </c>
      <c r="U248" s="17">
        <f t="shared" si="164"/>
        <v>44.564696295046346</v>
      </c>
      <c r="V248" s="17">
        <f t="shared" si="164"/>
        <v>30.189499234340811</v>
      </c>
      <c r="W248" s="17">
        <f t="shared" si="164"/>
        <v>69.518241651141309</v>
      </c>
      <c r="X248" s="17">
        <f t="shared" si="164"/>
        <v>24.428696035913681</v>
      </c>
      <c r="Y248" s="50">
        <f t="shared" si="153"/>
        <v>-5.3163340463682207E-2</v>
      </c>
      <c r="Z248" s="84">
        <f t="shared" si="144"/>
        <v>0.91549528812700631</v>
      </c>
      <c r="AA248" s="89">
        <f t="shared" si="160"/>
        <v>2</v>
      </c>
      <c r="AB248" s="5">
        <f t="shared" si="161"/>
        <v>0.60745492631839593</v>
      </c>
    </row>
    <row r="249" spans="1:28" ht="13.5" customHeight="1">
      <c r="A249" s="17">
        <f t="shared" si="145"/>
        <v>930</v>
      </c>
      <c r="B249" s="5">
        <f t="shared" si="146"/>
        <v>23.821392347786261</v>
      </c>
      <c r="D249" s="64">
        <f t="shared" si="156"/>
        <v>1.9820245602599753</v>
      </c>
      <c r="E249" s="54">
        <f t="shared" si="162"/>
        <v>4.9845649730989442E-4</v>
      </c>
      <c r="F249" s="63">
        <f t="shared" si="141"/>
        <v>1.9825230167572852</v>
      </c>
      <c r="G249" s="17">
        <f t="shared" si="163"/>
        <v>0.42934956029577487</v>
      </c>
      <c r="H249" s="17">
        <f t="shared" si="163"/>
        <v>0.6593068355985251</v>
      </c>
      <c r="I249" s="17">
        <f t="shared" si="163"/>
        <v>0.94323819151173738</v>
      </c>
      <c r="J249" s="17">
        <f t="shared" si="163"/>
        <v>1.2825397863793675</v>
      </c>
      <c r="K249" s="17">
        <f t="shared" si="163"/>
        <v>1.67013059931354</v>
      </c>
      <c r="L249" s="63">
        <f t="shared" si="157"/>
        <v>9.7023331959931222E-2</v>
      </c>
      <c r="M249" s="17">
        <f t="shared" si="164"/>
        <v>324.39120404660696</v>
      </c>
      <c r="N249" s="17">
        <f t="shared" si="164"/>
        <v>312.71234334816756</v>
      </c>
      <c r="O249" s="17">
        <f t="shared" si="164"/>
        <v>155.75176971492138</v>
      </c>
      <c r="P249" s="17">
        <f t="shared" si="164"/>
        <v>449.63290879407577</v>
      </c>
      <c r="Q249" s="17">
        <f t="shared" si="164"/>
        <v>8967.1880722104452</v>
      </c>
      <c r="R249" s="17">
        <f t="shared" si="164"/>
        <v>4666.2261932590391</v>
      </c>
      <c r="S249" s="17">
        <f t="shared" si="164"/>
        <v>2042.0112166737999</v>
      </c>
      <c r="T249" s="17">
        <f t="shared" si="164"/>
        <v>1756.081037546606</v>
      </c>
      <c r="U249" s="17">
        <f t="shared" si="164"/>
        <v>47.020623385920807</v>
      </c>
      <c r="V249" s="17">
        <f t="shared" si="164"/>
        <v>31.6512192217888</v>
      </c>
      <c r="W249" s="17">
        <f t="shared" si="164"/>
        <v>72.224333976860862</v>
      </c>
      <c r="X249" s="17">
        <f t="shared" si="164"/>
        <v>25.121360822207937</v>
      </c>
      <c r="Y249" s="50">
        <f t="shared" si="153"/>
        <v>-6.165525488304624E-2</v>
      </c>
      <c r="Z249" s="84">
        <f t="shared" si="144"/>
        <v>0.91045985269869223</v>
      </c>
      <c r="AA249" s="89">
        <f t="shared" si="160"/>
        <v>2</v>
      </c>
      <c r="AB249" s="5">
        <f t="shared" si="161"/>
        <v>0.89877198700123451</v>
      </c>
    </row>
    <row r="250" spans="1:28" ht="13.5" customHeight="1">
      <c r="A250" s="17">
        <f t="shared" si="145"/>
        <v>940</v>
      </c>
      <c r="B250" s="5">
        <f t="shared" si="146"/>
        <v>23.860663898842727</v>
      </c>
      <c r="D250" s="64">
        <f t="shared" si="156"/>
        <v>1.9755198504970228</v>
      </c>
      <c r="E250" s="54">
        <f t="shared" si="162"/>
        <v>4.8258635058441785E-4</v>
      </c>
      <c r="F250" s="63">
        <f t="shared" si="141"/>
        <v>1.9760024368476072</v>
      </c>
      <c r="G250" s="17">
        <f t="shared" si="163"/>
        <v>0.41566594160678128</v>
      </c>
      <c r="H250" s="17">
        <f t="shared" si="163"/>
        <v>0.63829986680279382</v>
      </c>
      <c r="I250" s="17">
        <f t="shared" si="163"/>
        <v>0.91319533581358614</v>
      </c>
      <c r="J250" s="17">
        <f t="shared" si="163"/>
        <v>1.2417092360560384</v>
      </c>
      <c r="K250" s="17">
        <f t="shared" si="163"/>
        <v>1.6169931255649783</v>
      </c>
      <c r="L250" s="63">
        <f t="shared" si="157"/>
        <v>9.4036933148748669E-2</v>
      </c>
      <c r="M250" s="17">
        <f t="shared" si="164"/>
        <v>312.2257080078345</v>
      </c>
      <c r="N250" s="17">
        <f t="shared" si="164"/>
        <v>290.92450965651318</v>
      </c>
      <c r="O250" s="17">
        <f t="shared" si="164"/>
        <v>142.64706406461414</v>
      </c>
      <c r="P250" s="17">
        <f t="shared" si="164"/>
        <v>407.34144563989895</v>
      </c>
      <c r="Q250" s="17">
        <f t="shared" si="164"/>
        <v>8287.6494420368399</v>
      </c>
      <c r="R250" s="17">
        <f t="shared" si="164"/>
        <v>4872.2360717053389</v>
      </c>
      <c r="S250" s="17">
        <f t="shared" si="164"/>
        <v>2345.8252722006569</v>
      </c>
      <c r="T250" s="17">
        <f t="shared" si="164"/>
        <v>1972.1985164246519</v>
      </c>
      <c r="U250" s="17">
        <f t="shared" si="164"/>
        <v>49.658340655046267</v>
      </c>
      <c r="V250" s="17">
        <f t="shared" si="164"/>
        <v>33.208046823526601</v>
      </c>
      <c r="W250" s="17">
        <f t="shared" si="164"/>
        <v>75.074359566311443</v>
      </c>
      <c r="X250" s="17">
        <f t="shared" si="164"/>
        <v>25.840396701506403</v>
      </c>
      <c r="Y250" s="50">
        <f t="shared" si="153"/>
        <v>-6.4950933246774589E-2</v>
      </c>
      <c r="Z250" s="84">
        <f t="shared" si="144"/>
        <v>0.90563466195949582</v>
      </c>
      <c r="AA250" s="89">
        <f t="shared" si="160"/>
        <v>2</v>
      </c>
      <c r="AB250" s="5">
        <f t="shared" si="161"/>
        <v>1.2240074751488583</v>
      </c>
    </row>
    <row r="251" spans="1:28" ht="13.5" customHeight="1">
      <c r="A251" s="17">
        <f t="shared" si="145"/>
        <v>950</v>
      </c>
      <c r="B251" s="5">
        <f t="shared" si="146"/>
        <v>23.900009569977083</v>
      </c>
      <c r="D251" s="64">
        <f t="shared" si="156"/>
        <v>1.9690343736106204</v>
      </c>
      <c r="E251" s="54">
        <f t="shared" si="162"/>
        <v>4.6738416896298694E-4</v>
      </c>
      <c r="F251" s="63">
        <f t="shared" si="141"/>
        <v>1.9695017577795835</v>
      </c>
      <c r="G251" s="17">
        <f t="shared" si="163"/>
        <v>0.40255897612227687</v>
      </c>
      <c r="H251" s="17">
        <f t="shared" si="163"/>
        <v>0.61817788145093722</v>
      </c>
      <c r="I251" s="17">
        <f t="shared" si="163"/>
        <v>0.88441756520021308</v>
      </c>
      <c r="J251" s="17">
        <f t="shared" si="163"/>
        <v>1.2025970260332646</v>
      </c>
      <c r="K251" s="17">
        <f t="shared" si="163"/>
        <v>1.5660902408231772</v>
      </c>
      <c r="L251" s="63">
        <f t="shared" si="157"/>
        <v>9.1171887350013345E-2</v>
      </c>
      <c r="M251" s="17">
        <f t="shared" si="164"/>
        <v>300.65560449573707</v>
      </c>
      <c r="N251" s="17">
        <f t="shared" si="164"/>
        <v>271.08170788243291</v>
      </c>
      <c r="O251" s="17">
        <f t="shared" si="164"/>
        <v>130.91690708461161</v>
      </c>
      <c r="P251" s="17">
        <f t="shared" si="164"/>
        <v>369.91651981140279</v>
      </c>
      <c r="Q251" s="17">
        <f t="shared" si="164"/>
        <v>7597.8511641987043</v>
      </c>
      <c r="R251" s="17">
        <f t="shared" si="164"/>
        <v>5001.4160435108579</v>
      </c>
      <c r="S251" s="17">
        <f t="shared" si="164"/>
        <v>2692.0890955258278</v>
      </c>
      <c r="T251" s="17">
        <f t="shared" si="164"/>
        <v>2222.6700808522178</v>
      </c>
      <c r="U251" s="17">
        <f t="shared" si="164"/>
        <v>52.494781400350774</v>
      </c>
      <c r="V251" s="17">
        <f t="shared" si="164"/>
        <v>34.867775382665698</v>
      </c>
      <c r="W251" s="17">
        <f t="shared" si="164"/>
        <v>78.078114973969846</v>
      </c>
      <c r="X251" s="17">
        <f t="shared" si="164"/>
        <v>26.587067487292888</v>
      </c>
      <c r="Y251" s="50">
        <f t="shared" si="153"/>
        <v>-5.9354775825624095E-2</v>
      </c>
      <c r="Z251" s="84">
        <f t="shared" si="144"/>
        <v>0.90100217151253381</v>
      </c>
      <c r="AA251" s="89">
        <f t="shared" si="160"/>
        <v>2</v>
      </c>
      <c r="AB251" s="5">
        <f t="shared" si="161"/>
        <v>1.5482813194689804</v>
      </c>
    </row>
    <row r="252" spans="1:28" ht="13.5" customHeight="1">
      <c r="A252" s="17">
        <f t="shared" si="145"/>
        <v>960</v>
      </c>
      <c r="B252" s="5">
        <f t="shared" si="146"/>
        <v>23.932842033494243</v>
      </c>
      <c r="D252" s="64">
        <f t="shared" si="156"/>
        <v>1.963648895331898</v>
      </c>
      <c r="E252" s="63">
        <f t="shared" ref="E252:E280" si="165">0.0001*SUM(G252:K252)</f>
        <v>4.5281510851944351E-4</v>
      </c>
      <c r="F252" s="63">
        <f t="shared" si="141"/>
        <v>1.9641017104404175</v>
      </c>
      <c r="G252" s="17">
        <f t="shared" si="163"/>
        <v>0.38999853777650462</v>
      </c>
      <c r="H252" s="17">
        <f t="shared" si="163"/>
        <v>0.59889466443816231</v>
      </c>
      <c r="I252" s="17">
        <f t="shared" si="163"/>
        <v>0.85683884992878401</v>
      </c>
      <c r="J252" s="17">
        <f t="shared" si="163"/>
        <v>1.1651135321732995</v>
      </c>
      <c r="K252" s="17">
        <f t="shared" si="163"/>
        <v>1.5173055008776846</v>
      </c>
      <c r="L252" s="63">
        <f t="shared" si="157"/>
        <v>8.842209582193275E-2</v>
      </c>
      <c r="M252" s="17">
        <f t="shared" si="164"/>
        <v>289.64523687370104</v>
      </c>
      <c r="N252" s="17">
        <f t="shared" si="164"/>
        <v>252.97578376319723</v>
      </c>
      <c r="O252" s="17">
        <f t="shared" si="164"/>
        <v>120.39304120693765</v>
      </c>
      <c r="P252" s="17">
        <f t="shared" si="164"/>
        <v>336.71972375578002</v>
      </c>
      <c r="Q252" s="17">
        <f t="shared" si="164"/>
        <v>6914.4520681144613</v>
      </c>
      <c r="R252" s="17">
        <f t="shared" si="164"/>
        <v>5042.6716249245719</v>
      </c>
      <c r="S252" s="17">
        <f t="shared" si="164"/>
        <v>3081.2051039130793</v>
      </c>
      <c r="T252" s="17">
        <f t="shared" si="164"/>
        <v>2513.4087349338888</v>
      </c>
      <c r="U252" s="17">
        <f t="shared" si="164"/>
        <v>55.548782670435003</v>
      </c>
      <c r="V252" s="17">
        <f t="shared" si="164"/>
        <v>36.638969939775606</v>
      </c>
      <c r="W252" s="17">
        <f t="shared" si="164"/>
        <v>81.246214819072222</v>
      </c>
      <c r="X252" s="17">
        <f t="shared" si="164"/>
        <v>27.362710184750643</v>
      </c>
      <c r="Y252" s="63">
        <f t="shared" si="153"/>
        <v>-4.1484356988533699E-2</v>
      </c>
      <c r="Z252" s="84">
        <f t="shared" si="144"/>
        <v>0.89654538479450374</v>
      </c>
      <c r="AA252" s="89">
        <f t="shared" si="160"/>
        <v>2</v>
      </c>
      <c r="AB252" s="5">
        <f t="shared" si="161"/>
        <v>1.8175552334050993</v>
      </c>
    </row>
    <row r="253" spans="1:28" ht="13.5" customHeight="1">
      <c r="A253" s="17">
        <f t="shared" si="145"/>
        <v>970</v>
      </c>
      <c r="B253" s="5">
        <f t="shared" si="146"/>
        <v>23.950684929597426</v>
      </c>
      <c r="D253" s="64">
        <f t="shared" si="156"/>
        <v>1.9607375022129137</v>
      </c>
      <c r="E253" s="63">
        <f t="shared" si="165"/>
        <v>4.3884648820439857E-4</v>
      </c>
      <c r="F253" s="63">
        <f t="shared" si="141"/>
        <v>1.961176348701118</v>
      </c>
      <c r="G253" s="17">
        <f t="shared" si="163"/>
        <v>0.37795637420784783</v>
      </c>
      <c r="H253" s="17">
        <f t="shared" si="163"/>
        <v>0.58040687353920284</v>
      </c>
      <c r="I253" s="17">
        <f t="shared" si="163"/>
        <v>0.83039726273041892</v>
      </c>
      <c r="J253" s="17">
        <f t="shared" si="163"/>
        <v>1.1291746932171098</v>
      </c>
      <c r="K253" s="17">
        <f t="shared" si="163"/>
        <v>1.4705296783494064</v>
      </c>
      <c r="L253" s="63">
        <f t="shared" si="157"/>
        <v>8.578182344321765E-2</v>
      </c>
      <c r="M253" s="17">
        <f t="shared" si="164"/>
        <v>279.16145718523069</v>
      </c>
      <c r="N253" s="17">
        <f t="shared" si="164"/>
        <v>236.4241459613722</v>
      </c>
      <c r="O253" s="17">
        <f t="shared" si="164"/>
        <v>110.93018202146897</v>
      </c>
      <c r="P253" s="17">
        <f t="shared" si="164"/>
        <v>307.20299923623895</v>
      </c>
      <c r="Q253" s="17">
        <f t="shared" si="164"/>
        <v>6252.4866162222961</v>
      </c>
      <c r="R253" s="17">
        <f t="shared" si="164"/>
        <v>4992.3245265054993</v>
      </c>
      <c r="S253" s="17">
        <f t="shared" si="164"/>
        <v>3509.8299742150461</v>
      </c>
      <c r="T253" s="17">
        <f t="shared" si="164"/>
        <v>2851.0655801618877</v>
      </c>
      <c r="U253" s="17">
        <f t="shared" si="164"/>
        <v>58.841336114876405</v>
      </c>
      <c r="V253" s="17">
        <f t="shared" si="164"/>
        <v>38.531056954264791</v>
      </c>
      <c r="W253" s="17">
        <f t="shared" si="164"/>
        <v>84.590173150514971</v>
      </c>
      <c r="X253" s="17">
        <f t="shared" si="164"/>
        <v>28.16873996826315</v>
      </c>
      <c r="Y253" s="63">
        <f t="shared" si="153"/>
        <v>-9.6086954732721441E-3</v>
      </c>
      <c r="Z253" s="84">
        <f t="shared" si="144"/>
        <v>0.89224761933325047</v>
      </c>
      <c r="AA253" s="89">
        <f t="shared" si="160"/>
        <v>2</v>
      </c>
      <c r="AB253" s="5">
        <f t="shared" si="161"/>
        <v>1.9631248893543174</v>
      </c>
    </row>
    <row r="254" spans="1:28" ht="13.5" customHeight="1">
      <c r="A254" s="17">
        <f t="shared" si="145"/>
        <v>980</v>
      </c>
      <c r="B254" s="5">
        <f t="shared" si="146"/>
        <v>23.944725941226935</v>
      </c>
      <c r="D254" s="64">
        <f t="shared" si="156"/>
        <v>1.9617271562372436</v>
      </c>
      <c r="E254" s="63">
        <f t="shared" si="165"/>
        <v>4.2544763383791669E-4</v>
      </c>
      <c r="F254" s="63">
        <f t="shared" si="141"/>
        <v>1.9621526038710815</v>
      </c>
      <c r="G254" s="17">
        <f t="shared" si="163"/>
        <v>0.36640597182601525</v>
      </c>
      <c r="H254" s="17">
        <f t="shared" si="163"/>
        <v>0.56267383029001705</v>
      </c>
      <c r="I254" s="17">
        <f t="shared" si="163"/>
        <v>0.80503468006160694</v>
      </c>
      <c r="J254" s="17">
        <f t="shared" si="163"/>
        <v>1.094701609192319</v>
      </c>
      <c r="K254" s="17">
        <f t="shared" si="163"/>
        <v>1.4256602470092092</v>
      </c>
      <c r="L254" s="63">
        <f t="shared" si="157"/>
        <v>8.3245673728538749E-2</v>
      </c>
      <c r="M254" s="17">
        <f t="shared" si="164"/>
        <v>269.17342456706325</v>
      </c>
      <c r="N254" s="17">
        <f t="shared" si="164"/>
        <v>221.26627844869577</v>
      </c>
      <c r="O254" s="17">
        <f t="shared" si="164"/>
        <v>102.40264842544831</v>
      </c>
      <c r="P254" s="17">
        <f t="shared" si="164"/>
        <v>280.89565725559424</v>
      </c>
      <c r="Q254" s="17">
        <f t="shared" si="164"/>
        <v>5624.2157999761394</v>
      </c>
      <c r="R254" s="17">
        <f t="shared" si="164"/>
        <v>4854.8547939620948</v>
      </c>
      <c r="S254" s="17">
        <f t="shared" si="164"/>
        <v>3969.0576773319035</v>
      </c>
      <c r="T254" s="17">
        <f t="shared" si="164"/>
        <v>3242.8690926069817</v>
      </c>
      <c r="U254" s="17">
        <f t="shared" si="164"/>
        <v>62.395876720802676</v>
      </c>
      <c r="V254" s="17">
        <f t="shared" si="164"/>
        <v>40.55442600751735</v>
      </c>
      <c r="W254" s="17">
        <f t="shared" si="164"/>
        <v>88.122494235506622</v>
      </c>
      <c r="X254" s="17">
        <f t="shared" si="164"/>
        <v>29.006655549296777</v>
      </c>
      <c r="Y254" s="63">
        <f t="shared" si="153"/>
        <v>3.495114386835918E-2</v>
      </c>
      <c r="Z254" s="84">
        <f t="shared" si="144"/>
        <v>0.8880922492502219</v>
      </c>
      <c r="AA254" s="89">
        <f t="shared" si="160"/>
        <v>2</v>
      </c>
      <c r="AB254" s="5">
        <f t="shared" si="161"/>
        <v>1.9136421881378207</v>
      </c>
    </row>
    <row r="255" spans="1:28" ht="13.5" customHeight="1">
      <c r="A255" s="17">
        <f t="shared" si="145"/>
        <v>990</v>
      </c>
      <c r="B255" s="5">
        <f t="shared" si="146"/>
        <v>23.908274410974538</v>
      </c>
      <c r="D255" s="64">
        <f t="shared" si="156"/>
        <v>1.9677277309865855</v>
      </c>
      <c r="E255" s="63">
        <f t="shared" si="165"/>
        <v>4.1258973643809143E-4</v>
      </c>
      <c r="F255" s="63">
        <f t="shared" si="141"/>
        <v>1.9681403207230235</v>
      </c>
      <c r="G255" s="17">
        <f t="shared" si="163"/>
        <v>0.35532243049636764</v>
      </c>
      <c r="H255" s="17">
        <f t="shared" si="163"/>
        <v>0.54565733429554064</v>
      </c>
      <c r="I255" s="17">
        <f t="shared" si="163"/>
        <v>0.78069651578701282</v>
      </c>
      <c r="J255" s="17">
        <f t="shared" si="163"/>
        <v>1.061620175963776</v>
      </c>
      <c r="K255" s="17">
        <f t="shared" si="163"/>
        <v>1.3826009078382173</v>
      </c>
      <c r="L255" s="63">
        <f t="shared" si="157"/>
        <v>8.0808565779438485E-2</v>
      </c>
      <c r="M255" s="17">
        <f t="shared" si="164"/>
        <v>259.65242177756909</v>
      </c>
      <c r="N255" s="17">
        <f t="shared" si="164"/>
        <v>207.36076735464317</v>
      </c>
      <c r="O255" s="17">
        <f t="shared" si="164"/>
        <v>94.701503177950798</v>
      </c>
      <c r="P255" s="17">
        <f t="shared" si="164"/>
        <v>257.39309542340544</v>
      </c>
      <c r="Q255" s="17">
        <f t="shared" si="164"/>
        <v>5038.4942178325846</v>
      </c>
      <c r="R255" s="17">
        <f t="shared" si="164"/>
        <v>4641.999298178569</v>
      </c>
      <c r="S255" s="17">
        <f t="shared" si="164"/>
        <v>4442.6319927996201</v>
      </c>
      <c r="T255" s="17">
        <f t="shared" si="164"/>
        <v>3696.2643753558796</v>
      </c>
      <c r="U255" s="17">
        <f t="shared" si="164"/>
        <v>66.238615873556597</v>
      </c>
      <c r="V255" s="17">
        <f t="shared" si="164"/>
        <v>42.720545299386188</v>
      </c>
      <c r="W255" s="17">
        <f t="shared" si="164"/>
        <v>91.856774023940972</v>
      </c>
      <c r="X255" s="17">
        <f t="shared" si="164"/>
        <v>29.878044974361128</v>
      </c>
      <c r="Y255" s="63">
        <f t="shared" si="153"/>
        <v>8.6997711515752751E-2</v>
      </c>
      <c r="Z255" s="84">
        <f t="shared" si="144"/>
        <v>0.88406241121595686</v>
      </c>
      <c r="AA255" s="89">
        <f t="shared" si="160"/>
        <v>2</v>
      </c>
      <c r="AB255" s="5">
        <f t="shared" si="161"/>
        <v>1.6136134506707256</v>
      </c>
    </row>
    <row r="256" spans="1:28" ht="13.5" customHeight="1">
      <c r="A256" s="17">
        <f t="shared" si="145"/>
        <v>1000</v>
      </c>
      <c r="B256" s="5">
        <f t="shared" si="146"/>
        <v>23.839412722220292</v>
      </c>
      <c r="D256" s="64">
        <f t="shared" si="156"/>
        <v>1.9791266985403941</v>
      </c>
      <c r="E256" s="63">
        <f t="shared" si="165"/>
        <v>4.0024572033036212E-4</v>
      </c>
      <c r="F256" s="63">
        <f t="shared" si="141"/>
        <v>1.9795269442607244</v>
      </c>
      <c r="G256" s="17">
        <f t="shared" ref="G256:K265" si="166">200*PI()*G$50*((G$24-$A256)*(ASINH(G$32/MAX(ABS(G$24-$A256),0.000001))-ASINH(G$28/MAX(ABS(G$24-$A256),0.000001)))-(G$22-$A256)*(ASINH(G$32/MAX(ABS(G$22-$A256),0.000001))-ASINH(G$28/MAX(ABS(G$22-$A256),0.000001))))</f>
        <v>0.34468235260460045</v>
      </c>
      <c r="H256" s="17">
        <f t="shared" si="166"/>
        <v>0.52932148485741115</v>
      </c>
      <c r="I256" s="17">
        <f t="shared" si="166"/>
        <v>0.75733147010844237</v>
      </c>
      <c r="J256" s="17">
        <f t="shared" si="166"/>
        <v>1.0298607477412143</v>
      </c>
      <c r="K256" s="17">
        <f t="shared" si="166"/>
        <v>1.3412611479919521</v>
      </c>
      <c r="L256" s="63">
        <f t="shared" si="157"/>
        <v>7.8465713005568524E-2</v>
      </c>
      <c r="M256" s="17">
        <f t="shared" ref="M256:X265" si="167">200*PI()*M$50*((M$24-$A256)*(ASINH(M$32/MAX(ABS(M$24-$A256),0.000001))-ASINH(M$28/MAX(ABS(M$24-$A256),0.000001)))-(M$22-$A256)*(ASINH(M$32/MAX(ABS(M$22-$A256),0.000001))-ASINH(M$28/MAX(ABS(M$22-$A256),0.000001))))</f>
        <v>250.57168805738405</v>
      </c>
      <c r="N256" s="17">
        <f t="shared" si="167"/>
        <v>194.58276237126401</v>
      </c>
      <c r="O256" s="17">
        <f t="shared" si="167"/>
        <v>87.732128592004045</v>
      </c>
      <c r="P256" s="17">
        <f t="shared" si="167"/>
        <v>236.34708180693852</v>
      </c>
      <c r="Q256" s="17">
        <f t="shared" si="167"/>
        <v>4500.6872797462893</v>
      </c>
      <c r="R256" s="17">
        <f t="shared" si="167"/>
        <v>4370.5197940704893</v>
      </c>
      <c r="S256" s="17">
        <f t="shared" si="167"/>
        <v>4905.8709769418119</v>
      </c>
      <c r="T256" s="17">
        <f t="shared" si="167"/>
        <v>4218.2647187012026</v>
      </c>
      <c r="U256" s="17">
        <f t="shared" si="167"/>
        <v>70.398926401951272</v>
      </c>
      <c r="V256" s="17">
        <f t="shared" si="167"/>
        <v>45.042093056804504</v>
      </c>
      <c r="W256" s="17">
        <f t="shared" si="167"/>
        <v>95.807813721949742</v>
      </c>
      <c r="X256" s="17">
        <f t="shared" si="167"/>
        <v>30.78459188016507</v>
      </c>
      <c r="Y256" s="63">
        <f t="shared" ref="Y256:Y279" si="168">100*(D257-D255)/(A257-A255)</f>
        <v>0.13786283671530564</v>
      </c>
      <c r="Z256" s="84">
        <f t="shared" si="144"/>
        <v>0.88014065702105382</v>
      </c>
      <c r="AA256" s="89">
        <f t="shared" si="160"/>
        <v>2</v>
      </c>
      <c r="AB256" s="5">
        <f t="shared" si="161"/>
        <v>1.0436650729802932</v>
      </c>
    </row>
    <row r="257" spans="1:28" ht="13.5" customHeight="1">
      <c r="A257" s="17">
        <f t="shared" si="145"/>
        <v>1010</v>
      </c>
      <c r="B257" s="5">
        <f t="shared" si="146"/>
        <v>23.7426867871709</v>
      </c>
      <c r="D257" s="64">
        <f t="shared" si="156"/>
        <v>1.9953002983296466</v>
      </c>
      <c r="E257" s="63">
        <f t="shared" si="165"/>
        <v>3.8839012258003771E-4</v>
      </c>
      <c r="F257" s="63">
        <f t="shared" si="141"/>
        <v>1.9956886884522267</v>
      </c>
      <c r="G257" s="17">
        <f t="shared" si="166"/>
        <v>0.33446373427681442</v>
      </c>
      <c r="H257" s="17">
        <f t="shared" si="166"/>
        <v>0.51363252245371838</v>
      </c>
      <c r="I257" s="17">
        <f t="shared" si="166"/>
        <v>0.73489129975425704</v>
      </c>
      <c r="J257" s="17">
        <f t="shared" si="166"/>
        <v>0.99935782788117378</v>
      </c>
      <c r="K257" s="17">
        <f t="shared" si="166"/>
        <v>1.3015558414344133</v>
      </c>
      <c r="L257" s="63">
        <f t="shared" si="157"/>
        <v>7.621260346550586E-2</v>
      </c>
      <c r="M257" s="17">
        <f t="shared" si="167"/>
        <v>241.90626671639171</v>
      </c>
      <c r="N257" s="17">
        <f t="shared" si="167"/>
        <v>182.82180546121631</v>
      </c>
      <c r="O257" s="17">
        <f t="shared" si="167"/>
        <v>81.412171497353725</v>
      </c>
      <c r="P257" s="17">
        <f t="shared" si="167"/>
        <v>217.45744134924959</v>
      </c>
      <c r="Q257" s="17">
        <f t="shared" si="167"/>
        <v>4013.0278979295294</v>
      </c>
      <c r="R257" s="17">
        <f t="shared" si="167"/>
        <v>4059.363117860903</v>
      </c>
      <c r="S257" s="17">
        <f t="shared" si="167"/>
        <v>5326.2858626175475</v>
      </c>
      <c r="T257" s="17">
        <f t="shared" si="167"/>
        <v>4814.4396597702871</v>
      </c>
      <c r="U257" s="17">
        <f t="shared" si="167"/>
        <v>74.909788720321103</v>
      </c>
      <c r="V257" s="17">
        <f t="shared" si="167"/>
        <v>47.533107324873157</v>
      </c>
      <c r="W257" s="17">
        <f t="shared" si="167"/>
        <v>99.991747144775275</v>
      </c>
      <c r="X257" s="17">
        <f t="shared" si="167"/>
        <v>31.728082248957019</v>
      </c>
      <c r="Y257" s="63">
        <f t="shared" si="168"/>
        <v>0.17733825089904065</v>
      </c>
      <c r="Z257" s="84">
        <f t="shared" si="144"/>
        <v>0.87630853002608944</v>
      </c>
      <c r="AA257" s="89">
        <f t="shared" si="160"/>
        <v>2</v>
      </c>
      <c r="AB257" s="5">
        <f t="shared" si="161"/>
        <v>0.23498508351766922</v>
      </c>
    </row>
    <row r="258" spans="1:28" ht="13.5" customHeight="1">
      <c r="A258" s="17">
        <f t="shared" si="145"/>
        <v>1020</v>
      </c>
      <c r="B258" s="5">
        <f t="shared" si="146"/>
        <v>23.628808563444853</v>
      </c>
      <c r="D258" s="64">
        <f t="shared" si="156"/>
        <v>2.0145943487202023</v>
      </c>
      <c r="E258" s="63">
        <f t="shared" si="165"/>
        <v>3.7699898228835783E-4</v>
      </c>
      <c r="F258" s="63">
        <f t="shared" si="141"/>
        <v>2.0149713477024904</v>
      </c>
      <c r="G258" s="17">
        <f t="shared" si="166"/>
        <v>0.32464587220174906</v>
      </c>
      <c r="H258" s="17">
        <f t="shared" si="166"/>
        <v>0.49855868218818683</v>
      </c>
      <c r="I258" s="17">
        <f t="shared" si="166"/>
        <v>0.71333060975157903</v>
      </c>
      <c r="J258" s="17">
        <f t="shared" si="166"/>
        <v>0.97004978175974366</v>
      </c>
      <c r="K258" s="17">
        <f t="shared" si="166"/>
        <v>1.2634048769823196</v>
      </c>
      <c r="L258" s="63">
        <f t="shared" si="157"/>
        <v>7.404498168901931E-2</v>
      </c>
      <c r="M258" s="17">
        <f t="shared" si="167"/>
        <v>233.63286601789216</v>
      </c>
      <c r="N258" s="17">
        <f t="shared" si="167"/>
        <v>171.9799703380545</v>
      </c>
      <c r="O258" s="17">
        <f t="shared" si="167"/>
        <v>75.669800613917914</v>
      </c>
      <c r="P258" s="17">
        <f t="shared" si="167"/>
        <v>200.46497319126169</v>
      </c>
      <c r="Q258" s="17">
        <f t="shared" si="167"/>
        <v>3575.2319754237096</v>
      </c>
      <c r="R258" s="17">
        <f t="shared" si="167"/>
        <v>3727.0005252636684</v>
      </c>
      <c r="S258" s="17">
        <f t="shared" si="167"/>
        <v>5666.8312643147465</v>
      </c>
      <c r="T258" s="17">
        <f t="shared" si="167"/>
        <v>5487.5282336839246</v>
      </c>
      <c r="U258" s="17">
        <f t="shared" si="167"/>
        <v>79.808308962630292</v>
      </c>
      <c r="V258" s="17">
        <f t="shared" si="167"/>
        <v>50.209157041313787</v>
      </c>
      <c r="W258" s="17">
        <f t="shared" si="167"/>
        <v>104.42618373617306</v>
      </c>
      <c r="X258" s="17">
        <f t="shared" si="167"/>
        <v>32.710411724531276</v>
      </c>
      <c r="Y258" s="63">
        <f t="shared" si="168"/>
        <v>0.19672608865018093</v>
      </c>
      <c r="Z258" s="84">
        <f t="shared" si="144"/>
        <v>0.87254603411851539</v>
      </c>
      <c r="AA258" s="89">
        <f t="shared" si="160"/>
        <v>2</v>
      </c>
      <c r="AB258" s="5">
        <f t="shared" si="161"/>
        <v>-0.7297174360101133</v>
      </c>
    </row>
    <row r="259" spans="1:28" ht="13.5" customHeight="1">
      <c r="A259" s="17">
        <f t="shared" si="145"/>
        <v>1030</v>
      </c>
      <c r="B259" s="5">
        <f t="shared" si="146"/>
        <v>23.512175800921124</v>
      </c>
      <c r="D259" s="64">
        <f t="shared" si="156"/>
        <v>2.0346455160596828</v>
      </c>
      <c r="E259" s="63">
        <f t="shared" si="165"/>
        <v>3.6604973751054479E-4</v>
      </c>
      <c r="F259" s="63">
        <f t="shared" si="141"/>
        <v>2.0350115657971934</v>
      </c>
      <c r="G259" s="17">
        <f t="shared" si="166"/>
        <v>0.31520927599478699</v>
      </c>
      <c r="H259" s="17">
        <f t="shared" si="166"/>
        <v>0.4840700539517736</v>
      </c>
      <c r="I259" s="17">
        <f t="shared" si="166"/>
        <v>0.69260665695733825</v>
      </c>
      <c r="J259" s="17">
        <f t="shared" si="166"/>
        <v>0.94187857115368256</v>
      </c>
      <c r="K259" s="17">
        <f t="shared" si="166"/>
        <v>1.2267328170478664</v>
      </c>
      <c r="L259" s="63">
        <f t="shared" si="157"/>
        <v>7.195883185850746E-2</v>
      </c>
      <c r="M259" s="17">
        <f t="shared" si="167"/>
        <v>225.72973208065233</v>
      </c>
      <c r="N259" s="17">
        <f t="shared" si="167"/>
        <v>161.97026521133739</v>
      </c>
      <c r="O259" s="17">
        <f t="shared" si="167"/>
        <v>70.442227740868816</v>
      </c>
      <c r="P259" s="17">
        <f t="shared" si="167"/>
        <v>185.14543354813495</v>
      </c>
      <c r="Q259" s="17">
        <f t="shared" si="167"/>
        <v>3185.1963728205824</v>
      </c>
      <c r="R259" s="17">
        <f t="shared" si="167"/>
        <v>3389.4919998885211</v>
      </c>
      <c r="S259" s="17">
        <f t="shared" si="167"/>
        <v>5891.992864149337</v>
      </c>
      <c r="T259" s="17">
        <f t="shared" si="167"/>
        <v>6235.8101236287321</v>
      </c>
      <c r="U259" s="17">
        <f t="shared" si="167"/>
        <v>85.136322120341035</v>
      </c>
      <c r="V259" s="17">
        <f t="shared" si="167"/>
        <v>53.08753781601839</v>
      </c>
      <c r="W259" s="17">
        <f t="shared" si="167"/>
        <v>109.1303694814801</v>
      </c>
      <c r="X259" s="17">
        <f t="shared" si="167"/>
        <v>33.733593525738939</v>
      </c>
      <c r="Y259" s="63">
        <f t="shared" si="168"/>
        <v>0.19184163730232573</v>
      </c>
      <c r="Z259" s="84">
        <f t="shared" si="144"/>
        <v>0.86883095105975772</v>
      </c>
      <c r="AA259" s="89">
        <f t="shared" si="160"/>
        <v>2</v>
      </c>
      <c r="AB259" s="5">
        <f t="shared" si="161"/>
        <v>-1.7322758029841401</v>
      </c>
    </row>
    <row r="260" spans="1:28" ht="13.5" customHeight="1">
      <c r="A260" s="17">
        <f t="shared" si="145"/>
        <v>1040</v>
      </c>
      <c r="B260" s="5">
        <f t="shared" si="146"/>
        <v>23.407128169733507</v>
      </c>
      <c r="D260" s="64">
        <f t="shared" si="156"/>
        <v>2.0529626761806674</v>
      </c>
      <c r="E260" s="63">
        <f t="shared" si="165"/>
        <v>3.5552113084672357E-4</v>
      </c>
      <c r="F260" s="63">
        <f t="shared" si="141"/>
        <v>2.0533181973115142</v>
      </c>
      <c r="G260" s="17">
        <f t="shared" si="166"/>
        <v>0.3061355789462783</v>
      </c>
      <c r="H260" s="17">
        <f t="shared" si="166"/>
        <v>0.47013846100140677</v>
      </c>
      <c r="I260" s="17">
        <f t="shared" si="166"/>
        <v>0.67267917149522893</v>
      </c>
      <c r="J260" s="17">
        <f t="shared" si="166"/>
        <v>0.91478951644805895</v>
      </c>
      <c r="K260" s="17">
        <f t="shared" si="166"/>
        <v>1.1914685805762628</v>
      </c>
      <c r="L260" s="63">
        <f t="shared" si="157"/>
        <v>6.9950362235686445E-2</v>
      </c>
      <c r="M260" s="17">
        <f t="shared" si="167"/>
        <v>218.17653265975238</v>
      </c>
      <c r="N260" s="17">
        <f t="shared" si="167"/>
        <v>152.71525887497074</v>
      </c>
      <c r="O260" s="17">
        <f t="shared" si="167"/>
        <v>65.674451485842383</v>
      </c>
      <c r="P260" s="17">
        <f t="shared" si="167"/>
        <v>171.30443228981034</v>
      </c>
      <c r="Q260" s="17">
        <f t="shared" si="167"/>
        <v>2839.6514630652086</v>
      </c>
      <c r="R260" s="17">
        <f t="shared" si="167"/>
        <v>3059.4621872121711</v>
      </c>
      <c r="S260" s="17">
        <f t="shared" si="167"/>
        <v>5975.4987981529412</v>
      </c>
      <c r="T260" s="17">
        <f t="shared" si="167"/>
        <v>7051.5862881812118</v>
      </c>
      <c r="U260" s="17">
        <f t="shared" si="167"/>
        <v>90.941095830580082</v>
      </c>
      <c r="V260" s="17">
        <f t="shared" si="167"/>
        <v>56.187496419797249</v>
      </c>
      <c r="W260" s="17">
        <f t="shared" si="167"/>
        <v>114.12536826796756</v>
      </c>
      <c r="X260" s="17">
        <f t="shared" si="167"/>
        <v>34.799767009556803</v>
      </c>
      <c r="Y260" s="63">
        <f t="shared" si="168"/>
        <v>0.16449602661863238</v>
      </c>
      <c r="Z260" s="84">
        <f t="shared" si="144"/>
        <v>0.86513794309417991</v>
      </c>
      <c r="AA260" s="89">
        <f t="shared" si="160"/>
        <v>2</v>
      </c>
      <c r="AB260" s="5">
        <f t="shared" si="161"/>
        <v>-2.6481338090333706</v>
      </c>
    </row>
    <row r="261" spans="1:28" ht="13.5" customHeight="1">
      <c r="A261" s="17">
        <f t="shared" si="145"/>
        <v>1050</v>
      </c>
      <c r="B261" s="5">
        <f t="shared" si="146"/>
        <v>23.324510204123708</v>
      </c>
      <c r="D261" s="64">
        <f t="shared" si="156"/>
        <v>2.0675447213834093</v>
      </c>
      <c r="E261" s="63">
        <f t="shared" si="165"/>
        <v>3.4539312258241708E-4</v>
      </c>
      <c r="F261" s="63">
        <f t="shared" ref="F261:F280" si="169">D261+E261</f>
        <v>2.0678901145059916</v>
      </c>
      <c r="G261" s="17">
        <f t="shared" si="166"/>
        <v>0.29740747314401034</v>
      </c>
      <c r="H261" s="17">
        <f t="shared" si="166"/>
        <v>0.45673734144170597</v>
      </c>
      <c r="I261" s="17">
        <f t="shared" si="166"/>
        <v>0.65351018949638551</v>
      </c>
      <c r="J261" s="17">
        <f t="shared" si="166"/>
        <v>0.88873106716932204</v>
      </c>
      <c r="K261" s="17">
        <f t="shared" si="166"/>
        <v>1.1575451545727469</v>
      </c>
      <c r="L261" s="63">
        <f t="shared" si="157"/>
        <v>6.8015990730872805E-2</v>
      </c>
      <c r="M261" s="17">
        <f t="shared" si="167"/>
        <v>210.95425076883802</v>
      </c>
      <c r="N261" s="17">
        <f t="shared" si="167"/>
        <v>144.14589656399383</v>
      </c>
      <c r="O261" s="17">
        <f t="shared" si="167"/>
        <v>61.318188651103746</v>
      </c>
      <c r="P261" s="17">
        <f t="shared" si="167"/>
        <v>158.77310786313885</v>
      </c>
      <c r="Q261" s="17">
        <f t="shared" si="167"/>
        <v>2534.6992067801334</v>
      </c>
      <c r="R261" s="17">
        <f t="shared" si="167"/>
        <v>2745.8802845381638</v>
      </c>
      <c r="S261" s="17">
        <f t="shared" si="167"/>
        <v>5907.0305041415559</v>
      </c>
      <c r="T261" s="17">
        <f t="shared" si="167"/>
        <v>7920.3337512449898</v>
      </c>
      <c r="U261" s="17">
        <f t="shared" si="167"/>
        <v>97.276153584044081</v>
      </c>
      <c r="V261" s="17">
        <f t="shared" si="167"/>
        <v>59.53048875400043</v>
      </c>
      <c r="W261" s="17">
        <f t="shared" si="167"/>
        <v>119.43426667076922</v>
      </c>
      <c r="X261" s="17">
        <f t="shared" si="167"/>
        <v>35.91120696463269</v>
      </c>
      <c r="Y261" s="63">
        <f t="shared" si="168"/>
        <v>0.12159350808877312</v>
      </c>
      <c r="Z261" s="84">
        <f t="shared" si="144"/>
        <v>0.86143734896859359</v>
      </c>
      <c r="AA261" s="89">
        <f t="shared" si="160"/>
        <v>2</v>
      </c>
      <c r="AB261" s="5">
        <f t="shared" si="161"/>
        <v>-3.3772360691704639</v>
      </c>
    </row>
    <row r="262" spans="1:28">
      <c r="A262" s="17">
        <f t="shared" si="145"/>
        <v>1060</v>
      </c>
      <c r="B262" s="5">
        <f t="shared" si="146"/>
        <v>23.269846236009418</v>
      </c>
      <c r="D262" s="64">
        <f t="shared" si="156"/>
        <v>2.077281377798422</v>
      </c>
      <c r="E262" s="63">
        <f t="shared" si="165"/>
        <v>3.3564680932377124E-4</v>
      </c>
      <c r="F262" s="63">
        <f t="shared" si="169"/>
        <v>2.0776170246077457</v>
      </c>
      <c r="G262" s="17">
        <f t="shared" si="166"/>
        <v>0.28900863050584563</v>
      </c>
      <c r="H262" s="17">
        <f t="shared" si="166"/>
        <v>0.44384164041804619</v>
      </c>
      <c r="I262" s="17">
        <f t="shared" si="166"/>
        <v>0.63506390382112599</v>
      </c>
      <c r="J262" s="17">
        <f t="shared" si="166"/>
        <v>0.86365459659791222</v>
      </c>
      <c r="K262" s="17">
        <f t="shared" si="166"/>
        <v>1.1248993218947818</v>
      </c>
      <c r="L262" s="63">
        <f t="shared" si="157"/>
        <v>6.6152331523243485E-2</v>
      </c>
      <c r="M262" s="17">
        <f t="shared" si="167"/>
        <v>204.04508723429544</v>
      </c>
      <c r="N262" s="17">
        <f t="shared" si="167"/>
        <v>136.20047733654076</v>
      </c>
      <c r="O262" s="17">
        <f t="shared" si="167"/>
        <v>57.330963897239251</v>
      </c>
      <c r="P262" s="17">
        <f t="shared" si="167"/>
        <v>147.40446227301024</v>
      </c>
      <c r="Q262" s="17">
        <f t="shared" si="167"/>
        <v>2266.2156255374066</v>
      </c>
      <c r="R262" s="17">
        <f t="shared" si="167"/>
        <v>2454.3893988673967</v>
      </c>
      <c r="S262" s="17">
        <f t="shared" si="167"/>
        <v>5695.0715106364778</v>
      </c>
      <c r="T262" s="17">
        <f t="shared" si="167"/>
        <v>8821.1374807863085</v>
      </c>
      <c r="U262" s="17">
        <f t="shared" si="167"/>
        <v>104.20223999484139</v>
      </c>
      <c r="V262" s="17">
        <f t="shared" si="167"/>
        <v>63.140476894482688</v>
      </c>
      <c r="W262" s="17">
        <f t="shared" si="167"/>
        <v>125.08240561524269</v>
      </c>
      <c r="X262" s="17">
        <f t="shared" si="167"/>
        <v>37.070333678549396</v>
      </c>
      <c r="Y262" s="63">
        <f t="shared" si="168"/>
        <v>7.2313126136966943E-2</v>
      </c>
      <c r="Z262" s="84">
        <f t="shared" si="144"/>
        <v>0.85769353749582666</v>
      </c>
      <c r="AA262" s="89">
        <f t="shared" si="160"/>
        <v>2</v>
      </c>
      <c r="AB262" s="5">
        <f t="shared" si="161"/>
        <v>-3.8640688899211018</v>
      </c>
    </row>
    <row r="263" spans="1:28">
      <c r="A263" s="17">
        <f t="shared" si="145"/>
        <v>1070</v>
      </c>
      <c r="B263" s="5">
        <f t="shared" si="146"/>
        <v>23.24347763235177</v>
      </c>
      <c r="D263" s="64">
        <f t="shared" si="156"/>
        <v>2.0820073466108027</v>
      </c>
      <c r="E263" s="63">
        <f t="shared" si="165"/>
        <v>3.2626434980191583E-4</v>
      </c>
      <c r="F263" s="63">
        <f t="shared" si="169"/>
        <v>2.0823336109606045</v>
      </c>
      <c r="G263" s="17">
        <f t="shared" si="166"/>
        <v>0.28092364171115447</v>
      </c>
      <c r="H263" s="17">
        <f t="shared" si="166"/>
        <v>0.43142771375843081</v>
      </c>
      <c r="I263" s="17">
        <f t="shared" si="166"/>
        <v>0.617306518322293</v>
      </c>
      <c r="J263" s="17">
        <f t="shared" si="166"/>
        <v>0.83951421025539241</v>
      </c>
      <c r="K263" s="17">
        <f t="shared" si="166"/>
        <v>1.0934714139718875</v>
      </c>
      <c r="L263" s="63">
        <f t="shared" si="157"/>
        <v>6.4356182645232823E-2</v>
      </c>
      <c r="M263" s="17">
        <f t="shared" si="167"/>
        <v>197.43237134633162</v>
      </c>
      <c r="N263" s="17">
        <f t="shared" si="167"/>
        <v>128.82376917017746</v>
      </c>
      <c r="O263" s="17">
        <f t="shared" si="167"/>
        <v>53.675332960768699</v>
      </c>
      <c r="P263" s="17">
        <f t="shared" si="167"/>
        <v>137.07025413817578</v>
      </c>
      <c r="Q263" s="17">
        <f t="shared" si="167"/>
        <v>2030.1265641976202</v>
      </c>
      <c r="R263" s="17">
        <f t="shared" si="167"/>
        <v>2187.9169712906664</v>
      </c>
      <c r="S263" s="17">
        <f t="shared" si="167"/>
        <v>5364.5567724152497</v>
      </c>
      <c r="T263" s="17">
        <f t="shared" si="167"/>
        <v>9728.6995099247288</v>
      </c>
      <c r="U263" s="17">
        <f t="shared" si="167"/>
        <v>111.7884554599316</v>
      </c>
      <c r="V263" s="17">
        <f t="shared" si="167"/>
        <v>67.044271899395767</v>
      </c>
      <c r="W263" s="17">
        <f t="shared" si="167"/>
        <v>131.09764296865995</v>
      </c>
      <c r="X263" s="17">
        <f t="shared" si="167"/>
        <v>38.279723883991188</v>
      </c>
      <c r="Y263" s="63">
        <f t="shared" si="168"/>
        <v>2.4945491817125465E-2</v>
      </c>
      <c r="Z263" s="84">
        <f t="shared" si="144"/>
        <v>0.85386261430428689</v>
      </c>
      <c r="AA263" s="89">
        <f t="shared" si="160"/>
        <v>2</v>
      </c>
      <c r="AB263" s="5">
        <f t="shared" si="161"/>
        <v>-4.1003673305401334</v>
      </c>
    </row>
    <row r="264" spans="1:28">
      <c r="A264" s="17">
        <f t="shared" si="145"/>
        <v>1080</v>
      </c>
      <c r="B264" s="5">
        <f t="shared" si="146"/>
        <v>23.24205963429911</v>
      </c>
      <c r="D264" s="64">
        <f t="shared" ref="D264:D295" si="170">L264+0.0001*SUM(M264:X264)</f>
        <v>2.0822704761618471</v>
      </c>
      <c r="E264" s="63">
        <f t="shared" si="165"/>
        <v>3.1722889586176473E-4</v>
      </c>
      <c r="F264" s="63">
        <f t="shared" si="169"/>
        <v>2.0825877050577088</v>
      </c>
      <c r="G264" s="17">
        <f t="shared" si="166"/>
        <v>0.27313795844054367</v>
      </c>
      <c r="H264" s="17">
        <f t="shared" si="166"/>
        <v>0.41947323316355661</v>
      </c>
      <c r="I264" s="17">
        <f t="shared" si="166"/>
        <v>0.60020611903578336</v>
      </c>
      <c r="J264" s="17">
        <f t="shared" si="166"/>
        <v>0.81626656720219648</v>
      </c>
      <c r="K264" s="17">
        <f t="shared" si="166"/>
        <v>1.0632050807755671</v>
      </c>
      <c r="L264" s="63">
        <f t="shared" ref="L264:L295" si="171">0.02*PI()*L$50*((L$24-$A264)*(ASINH(L$32/MAX(ABS(L$24-$A264),0.000001))-ASINH(L$28/MAX(ABS(L$24-$A264),0.000001)))-(L$22-$A264)*(ASINH(L$32/MAX(ABS(L$22-$A264),0.000001))-ASINH(L$28/MAX(ABS(L$22-$A264),0.000001))))</f>
        <v>6.2624514454519956E-2</v>
      </c>
      <c r="M264" s="17">
        <f t="shared" si="167"/>
        <v>191.1004788716709</v>
      </c>
      <c r="N264" s="17">
        <f t="shared" si="167"/>
        <v>121.96624170405391</v>
      </c>
      <c r="O264" s="17">
        <f t="shared" si="167"/>
        <v>50.318218693511405</v>
      </c>
      <c r="P264" s="17">
        <f t="shared" si="167"/>
        <v>127.6583627374057</v>
      </c>
      <c r="Q264" s="17">
        <f t="shared" si="167"/>
        <v>1822.5796566640017</v>
      </c>
      <c r="R264" s="17">
        <f t="shared" si="167"/>
        <v>1947.3585429653374</v>
      </c>
      <c r="S264" s="17">
        <f t="shared" si="167"/>
        <v>4950.4308979527768</v>
      </c>
      <c r="T264" s="17">
        <f t="shared" si="167"/>
        <v>10616.608919495155</v>
      </c>
      <c r="U264" s="17">
        <f t="shared" si="167"/>
        <v>120.11359328816788</v>
      </c>
      <c r="V264" s="17">
        <f t="shared" si="167"/>
        <v>71.271930286957755</v>
      </c>
      <c r="W264" s="17">
        <f t="shared" si="167"/>
        <v>137.51065177515289</v>
      </c>
      <c r="X264" s="17">
        <f t="shared" si="167"/>
        <v>39.542122639082415</v>
      </c>
      <c r="Y264" s="63">
        <f t="shared" si="168"/>
        <v>-1.5085606822575759E-2</v>
      </c>
      <c r="Z264" s="84">
        <f t="shared" si="144"/>
        <v>0.84988916908486412</v>
      </c>
      <c r="AA264" s="89">
        <f t="shared" si="160"/>
        <v>2</v>
      </c>
      <c r="AB264" s="5">
        <f t="shared" si="161"/>
        <v>-4.1135238080923564</v>
      </c>
    </row>
    <row r="265" spans="1:28">
      <c r="A265" s="17">
        <f t="shared" si="145"/>
        <v>1090</v>
      </c>
      <c r="B265" s="5">
        <f t="shared" si="146"/>
        <v>23.260434071937375</v>
      </c>
      <c r="D265" s="64">
        <f t="shared" si="170"/>
        <v>2.0789902252462875</v>
      </c>
      <c r="E265" s="63">
        <f t="shared" si="165"/>
        <v>3.0852452805020736E-4</v>
      </c>
      <c r="F265" s="63">
        <f t="shared" si="169"/>
        <v>2.0792987497743378</v>
      </c>
      <c r="G265" s="17">
        <f t="shared" si="166"/>
        <v>0.26563783280106495</v>
      </c>
      <c r="H265" s="17">
        <f t="shared" si="166"/>
        <v>0.40795710387716594</v>
      </c>
      <c r="I265" s="17">
        <f t="shared" si="166"/>
        <v>0.58373255377872058</v>
      </c>
      <c r="J265" s="17">
        <f t="shared" si="166"/>
        <v>0.79387071537633436</v>
      </c>
      <c r="K265" s="17">
        <f t="shared" si="166"/>
        <v>1.0340470746687878</v>
      </c>
      <c r="L265" s="63">
        <f t="shared" si="171"/>
        <v>6.0954458923899571E-2</v>
      </c>
      <c r="M265" s="17">
        <f t="shared" si="167"/>
        <v>185.03475674220923</v>
      </c>
      <c r="N265" s="17">
        <f t="shared" si="167"/>
        <v>115.5833996473868</v>
      </c>
      <c r="O265" s="17">
        <f t="shared" si="167"/>
        <v>47.230342481488826</v>
      </c>
      <c r="P265" s="17">
        <f t="shared" si="167"/>
        <v>119.07054916930778</v>
      </c>
      <c r="Q265" s="17">
        <f t="shared" si="167"/>
        <v>1640.0386607532207</v>
      </c>
      <c r="R265" s="17">
        <f t="shared" si="167"/>
        <v>1732.2076116418707</v>
      </c>
      <c r="S265" s="17">
        <f t="shared" si="167"/>
        <v>4489.901847674173</v>
      </c>
      <c r="T265" s="17">
        <f t="shared" si="167"/>
        <v>11460.949846169096</v>
      </c>
      <c r="U265" s="17">
        <f t="shared" si="167"/>
        <v>129.26771938463838</v>
      </c>
      <c r="V265" s="17">
        <f t="shared" si="167"/>
        <v>75.857213649307354</v>
      </c>
      <c r="W265" s="17">
        <f t="shared" si="167"/>
        <v>144.35525966101463</v>
      </c>
      <c r="X265" s="17">
        <f t="shared" si="167"/>
        <v>40.860456250169257</v>
      </c>
      <c r="Y265" s="63">
        <f t="shared" si="168"/>
        <v>-4.5527694460993917E-2</v>
      </c>
      <c r="Z265" s="84">
        <f t="shared" ref="Z265:Z306" si="172">Z$119*((Z$122-$A265)/SQRT(Z$120^2+(Z$122-$A265)^2)-(Z$121-$A265)/SQRT(Z$120^2+(Z$121-$A265)^2))+Z$123*((Z$126-$A265)/SQRT(Z$124^2+(Z$126-$A265)^2)-(Z$125-$A265)/SQRT(Z$124^2+(Z$125-$A265)^2))+Z$127*((Z$130-$A265)/SQRT(Z$128^2+(Z$130-$A265)^2)-(Z$129-$A265)/SQRT(Z$128^2+(Z$129-$A265)^2))+Z$131*((Z$134-$A265)/SQRT(Z$132^2+(Z$134-$A265)^2)-(Z$133-$A265)/SQRT(Z$132^2+(Z$133-$A265)^2))</f>
        <v>0.84570157638541554</v>
      </c>
      <c r="AA265" s="89">
        <f t="shared" si="160"/>
        <v>2</v>
      </c>
      <c r="AB265" s="5">
        <f t="shared" si="161"/>
        <v>-3.9495112623143758</v>
      </c>
    </row>
    <row r="266" spans="1:28">
      <c r="A266" s="17">
        <f t="shared" ref="A266:A306" si="173">2*A265-A264</f>
        <v>1100</v>
      </c>
      <c r="B266" s="5">
        <f t="shared" si="146"/>
        <v>23.293132605312994</v>
      </c>
      <c r="D266" s="64">
        <f t="shared" si="170"/>
        <v>2.0731649372696483</v>
      </c>
      <c r="E266" s="63">
        <f t="shared" si="165"/>
        <v>3.0013619688788257E-4</v>
      </c>
      <c r="F266" s="63">
        <f t="shared" si="169"/>
        <v>2.0734650734665361</v>
      </c>
      <c r="G266" s="17">
        <f t="shared" ref="G266:K275" si="174">200*PI()*G$50*((G$24-$A266)*(ASINH(G$32/MAX(ABS(G$24-$A266),0.000001))-ASINH(G$28/MAX(ABS(G$24-$A266),0.000001)))-(G$22-$A266)*(ASINH(G$32/MAX(ABS(G$22-$A266),0.000001))-ASINH(G$28/MAX(ABS(G$22-$A266),0.000001))))</f>
        <v>0.25841027086996193</v>
      </c>
      <c r="H266" s="17">
        <f t="shared" si="174"/>
        <v>0.39685938360667383</v>
      </c>
      <c r="I266" s="17">
        <f t="shared" si="174"/>
        <v>0.56785731666795303</v>
      </c>
      <c r="J266" s="17">
        <f t="shared" si="174"/>
        <v>0.77228794127651623</v>
      </c>
      <c r="K266" s="17">
        <f t="shared" si="174"/>
        <v>1.0059470564577202</v>
      </c>
      <c r="L266" s="63">
        <f t="shared" si="171"/>
        <v>5.9343299682867626E-2</v>
      </c>
      <c r="M266" s="17">
        <f t="shared" ref="M266:X275" si="175">200*PI()*M$50*((M$24-$A266)*(ASINH(M$32/MAX(ABS(M$24-$A266),0.000001))-ASINH(M$28/MAX(ABS(M$24-$A266),0.000001)))-(M$22-$A266)*(ASINH(M$32/MAX(ABS(M$22-$A266),0.000001))-ASINH(M$28/MAX(ABS(M$22-$A266),0.000001))))</f>
        <v>179.22145384515156</v>
      </c>
      <c r="N266" s="17">
        <f t="shared" si="175"/>
        <v>109.63520252908012</v>
      </c>
      <c r="O266" s="17">
        <f t="shared" si="175"/>
        <v>44.385736452042323</v>
      </c>
      <c r="P266" s="17">
        <f t="shared" si="175"/>
        <v>111.22055222803108</v>
      </c>
      <c r="Q266" s="17">
        <f t="shared" si="175"/>
        <v>1479.3238220188248</v>
      </c>
      <c r="R266" s="17">
        <f t="shared" si="175"/>
        <v>1541.0727048257947</v>
      </c>
      <c r="S266" s="17">
        <f t="shared" si="175"/>
        <v>4016.1093077312366</v>
      </c>
      <c r="T266" s="17">
        <f t="shared" si="175"/>
        <v>12243.148748112497</v>
      </c>
      <c r="U266" s="17">
        <f t="shared" si="175"/>
        <v>139.35404319968293</v>
      </c>
      <c r="V266" s="17">
        <f t="shared" si="175"/>
        <v>80.838122661442341</v>
      </c>
      <c r="W266" s="17">
        <f t="shared" si="175"/>
        <v>151.66883592815918</v>
      </c>
      <c r="X266" s="17">
        <f t="shared" si="175"/>
        <v>42.237846335862784</v>
      </c>
      <c r="Y266" s="63">
        <f t="shared" si="168"/>
        <v>-6.6477424660511542E-2</v>
      </c>
      <c r="Z266" s="84">
        <f t="shared" si="172"/>
        <v>0.84120507784357046</v>
      </c>
      <c r="AA266" s="89">
        <f t="shared" si="160"/>
        <v>2</v>
      </c>
      <c r="AB266" s="5">
        <f t="shared" si="161"/>
        <v>-3.6582468634824172</v>
      </c>
    </row>
    <row r="267" spans="1:28">
      <c r="A267" s="17">
        <f t="shared" si="173"/>
        <v>1110</v>
      </c>
      <c r="B267" s="5">
        <f t="shared" si="146"/>
        <v>23.335251776265501</v>
      </c>
      <c r="D267" s="64">
        <f t="shared" si="170"/>
        <v>2.0656947403141852</v>
      </c>
      <c r="E267" s="63">
        <f t="shared" si="165"/>
        <v>2.9204966733847057E-4</v>
      </c>
      <c r="F267" s="63">
        <f t="shared" si="169"/>
        <v>2.0659867899815239</v>
      </c>
      <c r="G267" s="17">
        <f t="shared" si="174"/>
        <v>0.25144298189663633</v>
      </c>
      <c r="H267" s="17">
        <f t="shared" si="174"/>
        <v>0.38616121155734973</v>
      </c>
      <c r="I267" s="17">
        <f t="shared" si="174"/>
        <v>0.55255344735443257</v>
      </c>
      <c r="J267" s="17">
        <f t="shared" si="174"/>
        <v>0.75148162478544922</v>
      </c>
      <c r="K267" s="17">
        <f t="shared" si="174"/>
        <v>0.97885740779083774</v>
      </c>
      <c r="L267" s="63">
        <f t="shared" si="171"/>
        <v>5.7788462753847851E-2</v>
      </c>
      <c r="M267" s="17">
        <f t="shared" si="175"/>
        <v>173.64765733978101</v>
      </c>
      <c r="N267" s="17">
        <f t="shared" si="175"/>
        <v>104.08555859336771</v>
      </c>
      <c r="O267" s="17">
        <f t="shared" si="175"/>
        <v>41.761324157888417</v>
      </c>
      <c r="P267" s="17">
        <f t="shared" si="175"/>
        <v>104.03246647477251</v>
      </c>
      <c r="Q267" s="17">
        <f t="shared" si="175"/>
        <v>1337.6171882977092</v>
      </c>
      <c r="R267" s="17">
        <f t="shared" si="175"/>
        <v>1372.0684906983636</v>
      </c>
      <c r="S267" s="17">
        <f t="shared" si="175"/>
        <v>3554.580949922532</v>
      </c>
      <c r="T267" s="17">
        <f t="shared" si="175"/>
        <v>12951.35012279094</v>
      </c>
      <c r="U267" s="17">
        <f t="shared" si="175"/>
        <v>150.4911391921234</v>
      </c>
      <c r="V267" s="17">
        <f t="shared" si="175"/>
        <v>86.257519012908546</v>
      </c>
      <c r="W267" s="17">
        <f t="shared" si="175"/>
        <v>159.49273397176592</v>
      </c>
      <c r="X267" s="17">
        <f t="shared" si="175"/>
        <v>43.677625151220163</v>
      </c>
      <c r="Y267" s="63">
        <f t="shared" si="168"/>
        <v>-7.92799164670277E-2</v>
      </c>
      <c r="Z267" s="84">
        <f t="shared" si="172"/>
        <v>0.83627139929517191</v>
      </c>
      <c r="AA267" s="89">
        <f t="shared" si="160"/>
        <v>2</v>
      </c>
      <c r="AB267" s="5">
        <f t="shared" si="161"/>
        <v>-3.2847370157092604</v>
      </c>
    </row>
    <row r="268" spans="1:28">
      <c r="A268" s="17">
        <f t="shared" si="173"/>
        <v>1120</v>
      </c>
      <c r="B268" s="5">
        <f t="shared" si="146"/>
        <v>23.382799334215875</v>
      </c>
      <c r="D268" s="64">
        <f t="shared" si="170"/>
        <v>2.0573089539762428</v>
      </c>
      <c r="E268" s="63">
        <f t="shared" si="165"/>
        <v>2.8425146805202749E-4</v>
      </c>
      <c r="F268" s="63">
        <f t="shared" si="169"/>
        <v>2.0575932054442947</v>
      </c>
      <c r="G268" s="17">
        <f t="shared" si="174"/>
        <v>0.24472433626855847</v>
      </c>
      <c r="H268" s="17">
        <f t="shared" si="174"/>
        <v>0.37584473860249151</v>
      </c>
      <c r="I268" s="17">
        <f t="shared" si="174"/>
        <v>0.53779543096407589</v>
      </c>
      <c r="J268" s="17">
        <f t="shared" si="174"/>
        <v>0.73141711147976562</v>
      </c>
      <c r="K268" s="17">
        <f t="shared" si="174"/>
        <v>0.95273306320538331</v>
      </c>
      <c r="L268" s="63">
        <f t="shared" si="171"/>
        <v>5.6287507927604945E-2</v>
      </c>
      <c r="M268" s="17">
        <f t="shared" si="175"/>
        <v>168.30123403554191</v>
      </c>
      <c r="N268" s="17">
        <f t="shared" si="175"/>
        <v>98.901882534671316</v>
      </c>
      <c r="O268" s="17">
        <f t="shared" si="175"/>
        <v>39.336559454056314</v>
      </c>
      <c r="P268" s="17">
        <f t="shared" si="175"/>
        <v>97.439358372517404</v>
      </c>
      <c r="Q268" s="17">
        <f t="shared" si="175"/>
        <v>1212.4468339162431</v>
      </c>
      <c r="R268" s="17">
        <f t="shared" si="175"/>
        <v>1223.0925093588119</v>
      </c>
      <c r="S268" s="17">
        <f t="shared" si="175"/>
        <v>3122.3867598073712</v>
      </c>
      <c r="T268" s="17">
        <f t="shared" si="175"/>
        <v>13580.273730208468</v>
      </c>
      <c r="U268" s="17">
        <f t="shared" si="175"/>
        <v>162.8155909586402</v>
      </c>
      <c r="V268" s="17">
        <f t="shared" si="175"/>
        <v>92.163851462494733</v>
      </c>
      <c r="W268" s="17">
        <f t="shared" si="175"/>
        <v>167.87279808103082</v>
      </c>
      <c r="X268" s="17">
        <f t="shared" si="175"/>
        <v>45.183352296531055</v>
      </c>
      <c r="Y268" s="63">
        <f t="shared" si="168"/>
        <v>-8.5683981609352422E-2</v>
      </c>
      <c r="Z268" s="84">
        <f t="shared" si="172"/>
        <v>0.83072285495109177</v>
      </c>
      <c r="AA268" s="89">
        <f t="shared" si="160"/>
        <v>2</v>
      </c>
      <c r="AB268" s="5">
        <f t="shared" si="161"/>
        <v>-2.8654476988121402</v>
      </c>
    </row>
    <row r="269" spans="1:28">
      <c r="A269" s="17">
        <f t="shared" si="173"/>
        <v>1130</v>
      </c>
      <c r="B269" s="5">
        <f t="shared" si="146"/>
        <v>23.432725423098287</v>
      </c>
      <c r="D269" s="64">
        <f t="shared" si="170"/>
        <v>2.0485579439923147</v>
      </c>
      <c r="E269" s="63">
        <f t="shared" si="165"/>
        <v>2.7672884399066187E-4</v>
      </c>
      <c r="F269" s="63">
        <f t="shared" si="169"/>
        <v>2.0488346728363056</v>
      </c>
      <c r="G269" s="17">
        <f t="shared" si="174"/>
        <v>0.23824332184656943</v>
      </c>
      <c r="H269" s="17">
        <f t="shared" si="174"/>
        <v>0.36589306725653897</v>
      </c>
      <c r="I269" s="17">
        <f t="shared" si="174"/>
        <v>0.52355911094404117</v>
      </c>
      <c r="J269" s="17">
        <f t="shared" si="174"/>
        <v>0.71206158901765371</v>
      </c>
      <c r="K269" s="17">
        <f t="shared" si="174"/>
        <v>0.92753135084181515</v>
      </c>
      <c r="L269" s="63">
        <f t="shared" si="171"/>
        <v>5.483812073063353E-2</v>
      </c>
      <c r="M269" s="17">
        <f t="shared" si="175"/>
        <v>163.17077636805044</v>
      </c>
      <c r="N269" s="17">
        <f t="shared" si="175"/>
        <v>94.054708280892271</v>
      </c>
      <c r="O269" s="17">
        <f t="shared" si="175"/>
        <v>37.09311485444308</v>
      </c>
      <c r="P269" s="17">
        <f t="shared" si="175"/>
        <v>91.382083435697993</v>
      </c>
      <c r="Q269" s="17">
        <f t="shared" si="175"/>
        <v>1101.6596790382919</v>
      </c>
      <c r="R269" s="17">
        <f t="shared" si="175"/>
        <v>1092.0091017037551</v>
      </c>
      <c r="S269" s="17">
        <f t="shared" si="175"/>
        <v>2729.0925326440915</v>
      </c>
      <c r="T269" s="17">
        <f t="shared" si="175"/>
        <v>14130.020306508939</v>
      </c>
      <c r="U269" s="17">
        <f t="shared" si="175"/>
        <v>176.48514603114467</v>
      </c>
      <c r="V269" s="17">
        <f t="shared" si="175"/>
        <v>98.612005508627774</v>
      </c>
      <c r="W269" s="17">
        <f t="shared" si="175"/>
        <v>176.85994529980709</v>
      </c>
      <c r="X269" s="17">
        <f t="shared" si="175"/>
        <v>46.758832943068271</v>
      </c>
      <c r="Y269" s="63">
        <f t="shared" si="168"/>
        <v>-8.737214482781086E-2</v>
      </c>
      <c r="Z269" s="84">
        <f t="shared" si="172"/>
        <v>0.82430752299302423</v>
      </c>
      <c r="AA269" s="89">
        <f t="shared" si="160"/>
        <v>2</v>
      </c>
      <c r="AB269" s="5">
        <f t="shared" si="161"/>
        <v>-2.4278971996157361</v>
      </c>
    </row>
    <row r="270" spans="1:28">
      <c r="A270" s="17">
        <f t="shared" si="173"/>
        <v>1140</v>
      </c>
      <c r="B270" s="5">
        <f t="shared" ref="B270:B306" si="176">B$136*SQRT(B$135/F270)</f>
        <v>23.482812372202659</v>
      </c>
      <c r="D270" s="64">
        <f t="shared" si="170"/>
        <v>2.0398345250106806</v>
      </c>
      <c r="E270" s="63">
        <f t="shared" si="165"/>
        <v>2.6946971212339703E-4</v>
      </c>
      <c r="F270" s="63">
        <f t="shared" si="169"/>
        <v>2.0401039947228039</v>
      </c>
      <c r="G270" s="17">
        <f t="shared" si="174"/>
        <v>0.23198951083482999</v>
      </c>
      <c r="H270" s="17">
        <f t="shared" si="174"/>
        <v>0.35629018904214449</v>
      </c>
      <c r="I270" s="17">
        <f t="shared" si="174"/>
        <v>0.50982160310902258</v>
      </c>
      <c r="J270" s="17">
        <f t="shared" si="174"/>
        <v>0.69338397282184427</v>
      </c>
      <c r="K270" s="17">
        <f t="shared" si="174"/>
        <v>0.90321184542612865</v>
      </c>
      <c r="L270" s="63">
        <f t="shared" si="171"/>
        <v>5.3438104937148553E-2</v>
      </c>
      <c r="M270" s="17">
        <f t="shared" si="175"/>
        <v>158.24555259420515</v>
      </c>
      <c r="N270" s="17">
        <f t="shared" si="175"/>
        <v>89.517349340703518</v>
      </c>
      <c r="O270" s="17">
        <f t="shared" si="175"/>
        <v>35.014612083334065</v>
      </c>
      <c r="P270" s="17">
        <f t="shared" si="175"/>
        <v>85.808273328080972</v>
      </c>
      <c r="Q270" s="17">
        <f t="shared" si="175"/>
        <v>1003.3892759723115</v>
      </c>
      <c r="R270" s="17">
        <f t="shared" si="175"/>
        <v>976.76348424939317</v>
      </c>
      <c r="S270" s="17">
        <f t="shared" si="175"/>
        <v>2378.5129053761279</v>
      </c>
      <c r="T270" s="17">
        <f t="shared" si="175"/>
        <v>14604.446986139747</v>
      </c>
      <c r="U270" s="17">
        <f t="shared" si="175"/>
        <v>191.6824886518587</v>
      </c>
      <c r="V270" s="17">
        <f t="shared" si="175"/>
        <v>105.66430018747982</v>
      </c>
      <c r="W270" s="17">
        <f t="shared" si="175"/>
        <v>186.51083506104402</v>
      </c>
      <c r="X270" s="17">
        <f t="shared" si="175"/>
        <v>48.408137751035753</v>
      </c>
      <c r="Y270" s="63">
        <f t="shared" si="168"/>
        <v>-8.5767458561238907E-2</v>
      </c>
      <c r="Z270" s="84">
        <f t="shared" si="172"/>
        <v>0.81665973680365112</v>
      </c>
      <c r="AA270" s="89">
        <f t="shared" ref="AA270:AA306" si="177">$D$1</f>
        <v>2</v>
      </c>
      <c r="AB270" s="5">
        <f t="shared" ref="AB270:AB301" si="178">100*(1-D270/AA270)</f>
        <v>-1.9917262505340316</v>
      </c>
    </row>
    <row r="271" spans="1:28">
      <c r="A271" s="17">
        <f t="shared" si="173"/>
        <v>1150</v>
      </c>
      <c r="B271" s="5">
        <f t="shared" si="176"/>
        <v>23.531521413246875</v>
      </c>
      <c r="D271" s="64">
        <f t="shared" si="170"/>
        <v>2.0314044522800669</v>
      </c>
      <c r="E271" s="63">
        <f t="shared" si="165"/>
        <v>2.6246262037300366E-4</v>
      </c>
      <c r="F271" s="63">
        <f t="shared" si="169"/>
        <v>2.0316669149004398</v>
      </c>
      <c r="G271" s="17">
        <f t="shared" si="174"/>
        <v>0.22595301665353448</v>
      </c>
      <c r="H271" s="17">
        <f t="shared" si="174"/>
        <v>0.3470209328821322</v>
      </c>
      <c r="I271" s="17">
        <f t="shared" si="174"/>
        <v>0.49656121993404678</v>
      </c>
      <c r="J271" s="17">
        <f t="shared" si="174"/>
        <v>0.67535480254512259</v>
      </c>
      <c r="K271" s="17">
        <f t="shared" si="174"/>
        <v>0.87973623171520032</v>
      </c>
      <c r="L271" s="63">
        <f t="shared" si="171"/>
        <v>5.2085375586680485E-2</v>
      </c>
      <c r="M271" s="17">
        <f t="shared" si="175"/>
        <v>153.51546082042691</v>
      </c>
      <c r="N271" s="17">
        <f t="shared" si="175"/>
        <v>85.265600323990142</v>
      </c>
      <c r="O271" s="17">
        <f t="shared" si="175"/>
        <v>33.086388644772647</v>
      </c>
      <c r="P271" s="17">
        <f t="shared" si="175"/>
        <v>80.671466825208597</v>
      </c>
      <c r="Q271" s="17">
        <f t="shared" si="175"/>
        <v>916.02253444839482</v>
      </c>
      <c r="R271" s="17">
        <f t="shared" si="175"/>
        <v>875.44616201245685</v>
      </c>
      <c r="S271" s="17">
        <f t="shared" si="175"/>
        <v>2070.5457627424184</v>
      </c>
      <c r="T271" s="17">
        <f t="shared" si="175"/>
        <v>15009.601703020349</v>
      </c>
      <c r="U271" s="17">
        <f t="shared" si="175"/>
        <v>208.61976139848457</v>
      </c>
      <c r="V271" s="17">
        <f t="shared" si="175"/>
        <v>113.39166037373964</v>
      </c>
      <c r="W271" s="17">
        <f t="shared" si="175"/>
        <v>196.88864168509951</v>
      </c>
      <c r="X271" s="17">
        <f t="shared" si="175"/>
        <v>50.135624638525805</v>
      </c>
      <c r="Y271" s="63">
        <f t="shared" si="168"/>
        <v>-8.1989753566586998E-2</v>
      </c>
      <c r="Z271" s="84">
        <f t="shared" si="172"/>
        <v>0.80723619809168756</v>
      </c>
      <c r="AA271" s="89">
        <f t="shared" si="177"/>
        <v>2</v>
      </c>
      <c r="AB271" s="5">
        <f t="shared" si="178"/>
        <v>-1.5702226140033471</v>
      </c>
    </row>
    <row r="272" spans="1:28">
      <c r="A272" s="17">
        <f t="shared" si="173"/>
        <v>1160</v>
      </c>
      <c r="B272" s="5">
        <f t="shared" si="176"/>
        <v>23.577840460580482</v>
      </c>
      <c r="D272" s="64">
        <f t="shared" si="170"/>
        <v>2.0234365742973632</v>
      </c>
      <c r="E272" s="63">
        <f t="shared" si="165"/>
        <v>2.5569670960482366E-4</v>
      </c>
      <c r="F272" s="63">
        <f t="shared" si="169"/>
        <v>2.023692271006968</v>
      </c>
      <c r="G272" s="17">
        <f t="shared" si="174"/>
        <v>0.22012446616345505</v>
      </c>
      <c r="H272" s="17">
        <f t="shared" si="174"/>
        <v>0.3380709152623545</v>
      </c>
      <c r="I272" s="17">
        <f t="shared" si="174"/>
        <v>0.48375739637714726</v>
      </c>
      <c r="J272" s="17">
        <f t="shared" si="174"/>
        <v>0.65794614230793114</v>
      </c>
      <c r="K272" s="17">
        <f t="shared" si="174"/>
        <v>0.85706817593734841</v>
      </c>
      <c r="L272" s="63">
        <f t="shared" si="171"/>
        <v>5.077795246745366E-2</v>
      </c>
      <c r="M272" s="17">
        <f t="shared" si="175"/>
        <v>148.97098655571992</v>
      </c>
      <c r="N272" s="17">
        <f t="shared" si="175"/>
        <v>81.277474176093293</v>
      </c>
      <c r="O272" s="17">
        <f t="shared" si="175"/>
        <v>31.295295196254223</v>
      </c>
      <c r="P272" s="17">
        <f t="shared" si="175"/>
        <v>75.930362762052084</v>
      </c>
      <c r="Q272" s="17">
        <f t="shared" si="175"/>
        <v>838.16770581256128</v>
      </c>
      <c r="R272" s="17">
        <f t="shared" si="175"/>
        <v>786.32372824070239</v>
      </c>
      <c r="S272" s="17">
        <f t="shared" si="175"/>
        <v>1802.7173328345959</v>
      </c>
      <c r="T272" s="17">
        <f t="shared" si="175"/>
        <v>15352.47442828296</v>
      </c>
      <c r="U272" s="17">
        <f t="shared" si="175"/>
        <v>227.54399508819378</v>
      </c>
      <c r="V272" s="17">
        <f t="shared" si="175"/>
        <v>121.8749989609346</v>
      </c>
      <c r="W272" s="17">
        <f t="shared" si="175"/>
        <v>208.06394776719898</v>
      </c>
      <c r="X272" s="17">
        <f t="shared" si="175"/>
        <v>51.945962621827249</v>
      </c>
      <c r="Y272" s="63">
        <f t="shared" si="168"/>
        <v>-7.6876930044385006E-2</v>
      </c>
      <c r="Z272" s="84">
        <f t="shared" si="172"/>
        <v>0.79521178174549467</v>
      </c>
      <c r="AA272" s="89">
        <f t="shared" si="177"/>
        <v>2</v>
      </c>
      <c r="AB272" s="5">
        <f t="shared" si="178"/>
        <v>-1.1718287148681616</v>
      </c>
    </row>
    <row r="273" spans="1:28">
      <c r="A273" s="17">
        <f t="shared" si="173"/>
        <v>1170</v>
      </c>
      <c r="B273" s="5">
        <f t="shared" si="176"/>
        <v>23.621149643113078</v>
      </c>
      <c r="D273" s="64">
        <f t="shared" si="170"/>
        <v>2.0160290662711899</v>
      </c>
      <c r="E273" s="63">
        <f t="shared" si="165"/>
        <v>2.4916167831481818E-4</v>
      </c>
      <c r="F273" s="63">
        <f t="shared" si="169"/>
        <v>2.0162782279495048</v>
      </c>
      <c r="G273" s="17">
        <f t="shared" si="174"/>
        <v>0.21449497101202436</v>
      </c>
      <c r="H273" s="17">
        <f t="shared" si="174"/>
        <v>0.32942648971178129</v>
      </c>
      <c r="I273" s="17">
        <f t="shared" si="174"/>
        <v>0.47139062421657202</v>
      </c>
      <c r="J273" s="17">
        <f t="shared" si="174"/>
        <v>0.64113149049533069</v>
      </c>
      <c r="K273" s="17">
        <f t="shared" si="174"/>
        <v>0.83517320771247294</v>
      </c>
      <c r="L273" s="63">
        <f t="shared" si="171"/>
        <v>4.9513954032294707E-2</v>
      </c>
      <c r="M273" s="17">
        <f t="shared" si="175"/>
        <v>144.60316347829658</v>
      </c>
      <c r="N273" s="17">
        <f t="shared" si="175"/>
        <v>77.532970444088406</v>
      </c>
      <c r="O273" s="17">
        <f t="shared" si="175"/>
        <v>29.629519335686201</v>
      </c>
      <c r="P273" s="17">
        <f t="shared" si="175"/>
        <v>71.548176570938907</v>
      </c>
      <c r="Q273" s="17">
        <f t="shared" si="175"/>
        <v>768.62485614743696</v>
      </c>
      <c r="R273" s="17">
        <f t="shared" si="175"/>
        <v>707.84799040167059</v>
      </c>
      <c r="S273" s="17">
        <f t="shared" si="175"/>
        <v>1571.3243576743755</v>
      </c>
      <c r="T273" s="17">
        <f t="shared" si="175"/>
        <v>15640.129659087579</v>
      </c>
      <c r="U273" s="17">
        <f t="shared" si="175"/>
        <v>248.74364074079742</v>
      </c>
      <c r="V273" s="17">
        <f t="shared" si="175"/>
        <v>131.20685059873668</v>
      </c>
      <c r="W273" s="17">
        <f t="shared" si="175"/>
        <v>220.11577999823564</v>
      </c>
      <c r="X273" s="17">
        <f t="shared" si="175"/>
        <v>53.844157911104986</v>
      </c>
      <c r="Y273" s="63">
        <f t="shared" si="168"/>
        <v>-7.102904715556857E-2</v>
      </c>
      <c r="Z273" s="84">
        <f t="shared" si="172"/>
        <v>0.77931097163274388</v>
      </c>
      <c r="AA273" s="89">
        <f t="shared" si="177"/>
        <v>2</v>
      </c>
      <c r="AB273" s="5">
        <f t="shared" si="178"/>
        <v>-0.801453313559497</v>
      </c>
    </row>
    <row r="274" spans="1:28">
      <c r="A274" s="17">
        <f t="shared" si="173"/>
        <v>1180</v>
      </c>
      <c r="B274" s="5">
        <f t="shared" si="176"/>
        <v>23.661109609462081</v>
      </c>
      <c r="D274" s="64">
        <f t="shared" si="170"/>
        <v>2.0092307648662495</v>
      </c>
      <c r="E274" s="63">
        <f t="shared" si="165"/>
        <v>2.4284774888317956E-4</v>
      </c>
      <c r="F274" s="63">
        <f t="shared" si="169"/>
        <v>2.0094736126151327</v>
      </c>
      <c r="G274" s="17">
        <f t="shared" si="174"/>
        <v>0.20905609091365016</v>
      </c>
      <c r="H274" s="17">
        <f t="shared" si="174"/>
        <v>0.32107470566160667</v>
      </c>
      <c r="I274" s="17">
        <f t="shared" si="174"/>
        <v>0.45944238839887808</v>
      </c>
      <c r="J274" s="17">
        <f t="shared" si="174"/>
        <v>0.62488569420056328</v>
      </c>
      <c r="K274" s="17">
        <f t="shared" si="174"/>
        <v>0.81401860965709727</v>
      </c>
      <c r="L274" s="63">
        <f t="shared" si="171"/>
        <v>4.8291591714307289E-2</v>
      </c>
      <c r="M274" s="17">
        <f t="shared" si="175"/>
        <v>140.40353715202087</v>
      </c>
      <c r="N274" s="17">
        <f t="shared" si="175"/>
        <v>74.013870549001552</v>
      </c>
      <c r="O274" s="17">
        <f t="shared" si="175"/>
        <v>28.078432057710049</v>
      </c>
      <c r="P274" s="17">
        <f t="shared" si="175"/>
        <v>67.492084960247411</v>
      </c>
      <c r="Q274" s="17">
        <f t="shared" si="175"/>
        <v>706.35936784123669</v>
      </c>
      <c r="R274" s="17">
        <f t="shared" si="175"/>
        <v>638.65188263006905</v>
      </c>
      <c r="S274" s="17">
        <f t="shared" si="175"/>
        <v>1372.1999513171586</v>
      </c>
      <c r="T274" s="17">
        <f t="shared" si="175"/>
        <v>15879.174463291682</v>
      </c>
      <c r="U274" s="17">
        <f t="shared" si="175"/>
        <v>272.55643827921813</v>
      </c>
      <c r="V274" s="17">
        <f t="shared" si="175"/>
        <v>141.49330762774721</v>
      </c>
      <c r="W274" s="17">
        <f t="shared" si="175"/>
        <v>233.13281327348693</v>
      </c>
      <c r="X274" s="17">
        <f t="shared" si="175"/>
        <v>55.835582539842939</v>
      </c>
      <c r="Y274" s="63">
        <f t="shared" si="168"/>
        <v>-6.4856701024340602E-2</v>
      </c>
      <c r="Z274" s="84">
        <f t="shared" si="172"/>
        <v>0.75754774520036516</v>
      </c>
      <c r="AA274" s="89">
        <f t="shared" si="177"/>
        <v>2</v>
      </c>
      <c r="AB274" s="5">
        <f t="shared" si="178"/>
        <v>-0.46153824331247595</v>
      </c>
    </row>
    <row r="275" spans="1:28">
      <c r="A275" s="17">
        <f t="shared" si="173"/>
        <v>1190</v>
      </c>
      <c r="B275" s="5">
        <f t="shared" si="176"/>
        <v>23.697572736527231</v>
      </c>
      <c r="D275" s="64">
        <f t="shared" si="170"/>
        <v>2.0030577260663218</v>
      </c>
      <c r="E275" s="63">
        <f t="shared" si="165"/>
        <v>2.3674563711200542E-4</v>
      </c>
      <c r="F275" s="63">
        <f t="shared" si="169"/>
        <v>2.003294471703434</v>
      </c>
      <c r="G275" s="17">
        <f t="shared" si="174"/>
        <v>0.20379981553848289</v>
      </c>
      <c r="H275" s="17">
        <f t="shared" si="174"/>
        <v>0.31300326603454554</v>
      </c>
      <c r="I275" s="17">
        <f t="shared" si="174"/>
        <v>0.44789510733531152</v>
      </c>
      <c r="J275" s="17">
        <f t="shared" si="174"/>
        <v>0.60918486767170776</v>
      </c>
      <c r="K275" s="17">
        <f t="shared" si="174"/>
        <v>0.79357331454000624</v>
      </c>
      <c r="L275" s="63">
        <f t="shared" si="171"/>
        <v>4.7109164613548617E-2</v>
      </c>
      <c r="M275" s="17">
        <f t="shared" si="175"/>
        <v>136.36413144570523</v>
      </c>
      <c r="N275" s="17">
        <f t="shared" si="175"/>
        <v>70.703556624293853</v>
      </c>
      <c r="O275" s="17">
        <f t="shared" si="175"/>
        <v>26.632453709987114</v>
      </c>
      <c r="P275" s="17">
        <f t="shared" si="175"/>
        <v>63.732745694668701</v>
      </c>
      <c r="Q275" s="17">
        <f t="shared" si="175"/>
        <v>650.47859110347201</v>
      </c>
      <c r="R275" s="17">
        <f t="shared" si="175"/>
        <v>577.53792444803207</v>
      </c>
      <c r="S275" s="17">
        <f t="shared" si="175"/>
        <v>1201.1836209274982</v>
      </c>
      <c r="T275" s="17">
        <f t="shared" si="175"/>
        <v>16075.476586261795</v>
      </c>
      <c r="U275" s="17">
        <f t="shared" si="175"/>
        <v>299.3789045073101</v>
      </c>
      <c r="V275" s="17">
        <f t="shared" si="175"/>
        <v>152.85631984005138</v>
      </c>
      <c r="W275" s="17">
        <f t="shared" si="175"/>
        <v>247.21477416795508</v>
      </c>
      <c r="X275" s="17">
        <f t="shared" si="175"/>
        <v>57.92600579696164</v>
      </c>
      <c r="Y275" s="63">
        <f t="shared" si="168"/>
        <v>-5.8625848842324135E-2</v>
      </c>
      <c r="Z275" s="84">
        <f t="shared" si="172"/>
        <v>0.72688175755609086</v>
      </c>
      <c r="AA275" s="89">
        <f t="shared" si="177"/>
        <v>2</v>
      </c>
      <c r="AB275" s="5">
        <f t="shared" si="178"/>
        <v>-0.15288630331609099</v>
      </c>
    </row>
    <row r="276" spans="1:28">
      <c r="A276" s="17">
        <f t="shared" si="173"/>
        <v>1200</v>
      </c>
      <c r="B276" s="5">
        <f t="shared" si="176"/>
        <v>23.730515104612266</v>
      </c>
      <c r="D276" s="64">
        <f t="shared" si="170"/>
        <v>1.9975055950977847</v>
      </c>
      <c r="E276" s="63">
        <f t="shared" si="165"/>
        <v>2.3084652350435141E-4</v>
      </c>
      <c r="F276" s="63">
        <f t="shared" si="169"/>
        <v>1.997736441621289</v>
      </c>
      <c r="G276" s="17">
        <f t="shared" ref="G276:K285" si="179">200*PI()*G$50*((G$24-$A276)*(ASINH(G$32/MAX(ABS(G$24-$A276),0.000001))-ASINH(G$28/MAX(ABS(G$24-$A276),0.000001)))-(G$22-$A276)*(ASINH(G$32/MAX(ABS(G$22-$A276),0.000001))-ASINH(G$28/MAX(ABS(G$22-$A276),0.000001))))</f>
        <v>0.19871853441391751</v>
      </c>
      <c r="H276" s="17">
        <f t="shared" si="179"/>
        <v>0.30520049065963079</v>
      </c>
      <c r="I276" s="17">
        <f t="shared" si="179"/>
        <v>0.43673208060205743</v>
      </c>
      <c r="J276" s="17">
        <f t="shared" si="179"/>
        <v>0.59400632293333577</v>
      </c>
      <c r="K276" s="17">
        <f t="shared" si="179"/>
        <v>0.77380780643457248</v>
      </c>
      <c r="L276" s="63">
        <f t="shared" si="171"/>
        <v>4.5965054527390678E-2</v>
      </c>
      <c r="M276" s="17">
        <f t="shared" ref="M276:X285" si="180">200*PI()*M$50*((M$24-$A276)*(ASINH(M$32/MAX(ABS(M$24-$A276),0.000001))-ASINH(M$28/MAX(ABS(M$24-$A276),0.000001)))-(M$22-$A276)*(ASINH(M$32/MAX(ABS(M$22-$A276),0.000001))-ASINH(M$28/MAX(ABS(M$22-$A276),0.000001))))</f>
        <v>132.47741743325292</v>
      </c>
      <c r="N276" s="17">
        <f t="shared" si="180"/>
        <v>67.586850923859117</v>
      </c>
      <c r="O276" s="17">
        <f t="shared" si="180"/>
        <v>25.282936761326518</v>
      </c>
      <c r="P276" s="17">
        <f t="shared" si="180"/>
        <v>60.243881512145805</v>
      </c>
      <c r="Q276" s="17">
        <f t="shared" si="180"/>
        <v>600.21152841952073</v>
      </c>
      <c r="R276" s="17">
        <f t="shared" si="180"/>
        <v>523.46300488946224</v>
      </c>
      <c r="S276" s="17">
        <f t="shared" si="180"/>
        <v>1054.3818618456305</v>
      </c>
      <c r="T276" s="17">
        <f t="shared" si="180"/>
        <v>16234.048003205326</v>
      </c>
      <c r="U276" s="17">
        <f t="shared" si="180"/>
        <v>329.67777756128231</v>
      </c>
      <c r="V276" s="17">
        <f t="shared" si="180"/>
        <v>165.43643314105424</v>
      </c>
      <c r="W276" s="17">
        <f t="shared" si="180"/>
        <v>262.4740812541549</v>
      </c>
      <c r="X276" s="17">
        <f t="shared" si="180"/>
        <v>60.121628756926228</v>
      </c>
      <c r="Y276" s="63">
        <f t="shared" si="168"/>
        <v>-5.2495904516692837E-2</v>
      </c>
      <c r="Z276" s="84">
        <f t="shared" si="172"/>
        <v>0.68298557783004821</v>
      </c>
      <c r="AA276" s="89">
        <f t="shared" si="177"/>
        <v>2</v>
      </c>
      <c r="AB276" s="5">
        <f t="shared" si="178"/>
        <v>0.1247202451107654</v>
      </c>
    </row>
    <row r="277" spans="1:28">
      <c r="A277" s="17">
        <f t="shared" si="173"/>
        <v>1210</v>
      </c>
      <c r="B277" s="5">
        <f t="shared" si="176"/>
        <v>23.759986059916823</v>
      </c>
      <c r="D277" s="64">
        <f t="shared" si="170"/>
        <v>1.9925585451629833</v>
      </c>
      <c r="E277" s="63">
        <f t="shared" si="165"/>
        <v>2.2514202595815292E-4</v>
      </c>
      <c r="F277" s="63">
        <f t="shared" si="169"/>
        <v>1.9927836871889415</v>
      </c>
      <c r="G277" s="17">
        <f t="shared" si="179"/>
        <v>0.19380501540516071</v>
      </c>
      <c r="H277" s="17">
        <f t="shared" si="179"/>
        <v>0.29765527839766448</v>
      </c>
      <c r="I277" s="17">
        <f t="shared" si="179"/>
        <v>0.42593743639748011</v>
      </c>
      <c r="J277" s="17">
        <f t="shared" si="179"/>
        <v>0.57932849512451501</v>
      </c>
      <c r="K277" s="17">
        <f t="shared" si="179"/>
        <v>0.75469403425670856</v>
      </c>
      <c r="L277" s="63">
        <f t="shared" si="171"/>
        <v>4.4857721299616127E-2</v>
      </c>
      <c r="M277" s="17">
        <f t="shared" si="180"/>
        <v>128.73628456862667</v>
      </c>
      <c r="N277" s="17">
        <f t="shared" si="180"/>
        <v>64.649873249048014</v>
      </c>
      <c r="O277" s="17">
        <f t="shared" si="180"/>
        <v>24.022063085973468</v>
      </c>
      <c r="P277" s="17">
        <f t="shared" si="180"/>
        <v>57.001918902702833</v>
      </c>
      <c r="Q277" s="17">
        <f t="shared" si="180"/>
        <v>554.89131107690309</v>
      </c>
      <c r="R277" s="17">
        <f t="shared" si="180"/>
        <v>475.52187679426476</v>
      </c>
      <c r="S277" s="17">
        <f t="shared" si="180"/>
        <v>928.2915263392016</v>
      </c>
      <c r="T277" s="17">
        <f t="shared" si="180"/>
        <v>16359.02662110118</v>
      </c>
      <c r="U277" s="17">
        <f t="shared" si="180"/>
        <v>364.00381497663534</v>
      </c>
      <c r="V277" s="17">
        <f t="shared" si="180"/>
        <v>179.39605866955401</v>
      </c>
      <c r="W277" s="17">
        <f t="shared" si="180"/>
        <v>279.03776759383828</v>
      </c>
      <c r="X277" s="17">
        <f t="shared" si="180"/>
        <v>62.429122275736901</v>
      </c>
      <c r="Y277" s="63">
        <f t="shared" si="168"/>
        <v>-4.655024865285462E-2</v>
      </c>
      <c r="Z277" s="84">
        <f t="shared" si="172"/>
        <v>0.62090021958515751</v>
      </c>
      <c r="AA277" s="89">
        <f t="shared" si="177"/>
        <v>2</v>
      </c>
      <c r="AB277" s="5">
        <f t="shared" si="178"/>
        <v>0.37207274185083739</v>
      </c>
    </row>
    <row r="278" spans="1:28">
      <c r="A278" s="17">
        <f t="shared" si="173"/>
        <v>1220</v>
      </c>
      <c r="B278" s="5">
        <f t="shared" si="176"/>
        <v>23.786071902806619</v>
      </c>
      <c r="D278" s="64">
        <f t="shared" si="170"/>
        <v>1.9881955453672138</v>
      </c>
      <c r="E278" s="63">
        <f t="shared" si="165"/>
        <v>2.1962417467510394E-4</v>
      </c>
      <c r="F278" s="63">
        <f t="shared" si="169"/>
        <v>1.9884151695418888</v>
      </c>
      <c r="G278" s="17">
        <f t="shared" si="179"/>
        <v>0.18905238173628883</v>
      </c>
      <c r="H278" s="17">
        <f t="shared" si="179"/>
        <v>0.2903570746575041</v>
      </c>
      <c r="I278" s="17">
        <f t="shared" si="179"/>
        <v>0.41549608350465089</v>
      </c>
      <c r="J278" s="17">
        <f t="shared" si="179"/>
        <v>0.56513088103769371</v>
      </c>
      <c r="K278" s="17">
        <f t="shared" si="179"/>
        <v>0.7362053258149015</v>
      </c>
      <c r="L278" s="63">
        <f t="shared" si="171"/>
        <v>4.3785698466557721E-2</v>
      </c>
      <c r="M278" s="17">
        <f t="shared" si="180"/>
        <v>125.13401395450575</v>
      </c>
      <c r="N278" s="17">
        <f t="shared" si="180"/>
        <v>61.879914162930966</v>
      </c>
      <c r="O278" s="17">
        <f t="shared" si="180"/>
        <v>22.84275379318326</v>
      </c>
      <c r="P278" s="17">
        <f t="shared" si="180"/>
        <v>53.985673904185923</v>
      </c>
      <c r="Q278" s="17">
        <f t="shared" si="180"/>
        <v>513.94017382501647</v>
      </c>
      <c r="R278" s="17">
        <f t="shared" si="180"/>
        <v>432.93079620057239</v>
      </c>
      <c r="S278" s="17">
        <f t="shared" si="180"/>
        <v>819.83919152938745</v>
      </c>
      <c r="T278" s="17">
        <f t="shared" si="180"/>
        <v>16453.708754538344</v>
      </c>
      <c r="U278" s="17">
        <f t="shared" si="180"/>
        <v>403.00840391065026</v>
      </c>
      <c r="V278" s="17">
        <f t="shared" si="180"/>
        <v>194.9233840345494</v>
      </c>
      <c r="W278" s="17">
        <f t="shared" si="180"/>
        <v>297.04974032764449</v>
      </c>
      <c r="X278" s="17">
        <f t="shared" si="180"/>
        <v>64.855668825590158</v>
      </c>
      <c r="Y278" s="63">
        <f t="shared" si="168"/>
        <v>-4.0819563850926777E-2</v>
      </c>
      <c r="Z278" s="84">
        <f t="shared" si="172"/>
        <v>0.53821109574617942</v>
      </c>
      <c r="AA278" s="89">
        <f t="shared" si="177"/>
        <v>2</v>
      </c>
      <c r="AB278" s="5">
        <f t="shared" si="178"/>
        <v>0.5902227316393116</v>
      </c>
    </row>
    <row r="279" spans="1:28">
      <c r="A279" s="17">
        <f t="shared" si="173"/>
        <v>1230</v>
      </c>
      <c r="B279" s="5">
        <f t="shared" si="176"/>
        <v>23.808870452563895</v>
      </c>
      <c r="D279" s="64">
        <f t="shared" si="170"/>
        <v>1.9843946323927979</v>
      </c>
      <c r="E279" s="63">
        <f t="shared" si="165"/>
        <v>2.1428538890357114E-4</v>
      </c>
      <c r="F279" s="63">
        <f t="shared" si="169"/>
        <v>1.9846089177817015</v>
      </c>
      <c r="G279" s="17">
        <f t="shared" si="179"/>
        <v>0.18445409334964213</v>
      </c>
      <c r="H279" s="17">
        <f t="shared" si="179"/>
        <v>0.28329583971232958</v>
      </c>
      <c r="I279" s="17">
        <f t="shared" si="179"/>
        <v>0.40539366811741506</v>
      </c>
      <c r="J279" s="17">
        <f t="shared" si="179"/>
        <v>0.55139397882264429</v>
      </c>
      <c r="K279" s="17">
        <f t="shared" si="179"/>
        <v>0.71831630903368049</v>
      </c>
      <c r="L279" s="63">
        <f t="shared" si="171"/>
        <v>4.2747589177457711E-2</v>
      </c>
      <c r="M279" s="17">
        <f t="shared" si="180"/>
        <v>121.66425353355676</v>
      </c>
      <c r="N279" s="17">
        <f t="shared" si="180"/>
        <v>59.265322060560379</v>
      </c>
      <c r="O279" s="17">
        <f t="shared" si="180"/>
        <v>21.738589950806894</v>
      </c>
      <c r="P279" s="17">
        <f t="shared" si="180"/>
        <v>51.176078265137605</v>
      </c>
      <c r="Q279" s="17">
        <f t="shared" si="180"/>
        <v>476.85662261860693</v>
      </c>
      <c r="R279" s="17">
        <f t="shared" si="180"/>
        <v>395.01211338264409</v>
      </c>
      <c r="S279" s="17">
        <f t="shared" si="180"/>
        <v>726.3727573396277</v>
      </c>
      <c r="T279" s="17">
        <f t="shared" si="180"/>
        <v>16520.601682588171</v>
      </c>
      <c r="U279" s="17">
        <f t="shared" si="180"/>
        <v>447.46349682503762</v>
      </c>
      <c r="V279" s="17">
        <f t="shared" si="180"/>
        <v>212.23706283379042</v>
      </c>
      <c r="W279" s="17">
        <f t="shared" si="180"/>
        <v>316.67344412308915</v>
      </c>
      <c r="X279" s="17">
        <f t="shared" si="180"/>
        <v>67.409008632370174</v>
      </c>
      <c r="Y279" s="63">
        <f t="shared" si="168"/>
        <v>-3.5299049715117325E-2</v>
      </c>
      <c r="Z279" s="84">
        <f t="shared" si="172"/>
        <v>0.44082334710246501</v>
      </c>
      <c r="AA279" s="89">
        <f t="shared" si="177"/>
        <v>2</v>
      </c>
      <c r="AB279" s="5">
        <f t="shared" si="178"/>
        <v>0.78026838036010515</v>
      </c>
    </row>
    <row r="280" spans="1:28">
      <c r="A280" s="17">
        <f t="shared" si="173"/>
        <v>1240</v>
      </c>
      <c r="B280" s="5">
        <f t="shared" si="176"/>
        <v>23.828473727189959</v>
      </c>
      <c r="D280" s="64">
        <f t="shared" si="170"/>
        <v>1.9811357354241903</v>
      </c>
      <c r="E280" s="63">
        <f t="shared" si="165"/>
        <v>2.0911845498717963E-4</v>
      </c>
      <c r="F280" s="63">
        <f t="shared" si="169"/>
        <v>1.9813448538791776</v>
      </c>
      <c r="G280" s="17">
        <f t="shared" si="179"/>
        <v>0.18000392758426778</v>
      </c>
      <c r="H280" s="17">
        <f t="shared" si="179"/>
        <v>0.27646202231883588</v>
      </c>
      <c r="I280" s="17">
        <f t="shared" si="179"/>
        <v>0.39561653152743254</v>
      </c>
      <c r="J280" s="17">
        <f t="shared" si="179"/>
        <v>0.53809922867396209</v>
      </c>
      <c r="K280" s="17">
        <f t="shared" si="179"/>
        <v>0.70100283976729783</v>
      </c>
      <c r="L280" s="63">
        <f t="shared" si="171"/>
        <v>4.1742062371189437E-2</v>
      </c>
      <c r="M280" s="17">
        <f t="shared" si="180"/>
        <v>118.320995051621</v>
      </c>
      <c r="N280" s="17">
        <f t="shared" si="180"/>
        <v>56.7954024548226</v>
      </c>
      <c r="O280" s="17">
        <f t="shared" si="180"/>
        <v>20.703742742190368</v>
      </c>
      <c r="P280" s="17">
        <f t="shared" si="180"/>
        <v>48.55594035425954</v>
      </c>
      <c r="Q280" s="17">
        <f t="shared" si="180"/>
        <v>443.20450275648608</v>
      </c>
      <c r="R280" s="17">
        <f t="shared" si="180"/>
        <v>361.18021826817557</v>
      </c>
      <c r="S280" s="17">
        <f t="shared" si="180"/>
        <v>645.62850644224955</v>
      </c>
      <c r="T280" s="17">
        <f t="shared" si="180"/>
        <v>16561.477655023329</v>
      </c>
      <c r="U280" s="17">
        <f t="shared" si="180"/>
        <v>498.28541875303426</v>
      </c>
      <c r="V280" s="17">
        <f t="shared" si="180"/>
        <v>231.59184825334995</v>
      </c>
      <c r="W280" s="17">
        <f t="shared" si="180"/>
        <v>338.09500983188622</v>
      </c>
      <c r="X280" s="17">
        <f t="shared" si="180"/>
        <v>70.097490598604011</v>
      </c>
      <c r="Y280" s="64">
        <f t="shared" ref="Y280:Y284" si="181">100*(D281-D279)/(A281-A279)</f>
        <v>-2.9960804685730258E-2</v>
      </c>
      <c r="Z280" s="84">
        <f t="shared" si="172"/>
        <v>0.34415476561520664</v>
      </c>
      <c r="AA280" s="89">
        <f t="shared" si="177"/>
        <v>2</v>
      </c>
      <c r="AB280" s="5">
        <f t="shared" si="178"/>
        <v>0.94321322879048486</v>
      </c>
    </row>
    <row r="281" spans="1:28">
      <c r="A281" s="17">
        <f t="shared" si="173"/>
        <v>1250</v>
      </c>
      <c r="B281" s="5">
        <f t="shared" si="176"/>
        <v>23.844956573876395</v>
      </c>
      <c r="D281" s="64">
        <f t="shared" si="170"/>
        <v>1.9784024714556518</v>
      </c>
      <c r="E281" s="64">
        <f t="shared" ref="E281:E284" si="182">0.0001*SUM(G281:K281)</f>
        <v>2.0411650530367332E-4</v>
      </c>
      <c r="F281" s="64">
        <f t="shared" ref="F281:F284" si="183">D281+E281</f>
        <v>1.9786065879609556</v>
      </c>
      <c r="G281" s="17">
        <f t="shared" si="179"/>
        <v>0.1756959595477626</v>
      </c>
      <c r="H281" s="17">
        <f t="shared" si="179"/>
        <v>0.26984652761934613</v>
      </c>
      <c r="I281" s="17">
        <f t="shared" si="179"/>
        <v>0.38615167087765301</v>
      </c>
      <c r="J281" s="17">
        <f t="shared" si="179"/>
        <v>0.52522896351912352</v>
      </c>
      <c r="K281" s="17">
        <f t="shared" si="179"/>
        <v>0.68424193147284784</v>
      </c>
      <c r="L281" s="64">
        <f t="shared" si="171"/>
        <v>4.0767849190745081E-2</v>
      </c>
      <c r="M281" s="17">
        <f t="shared" si="180"/>
        <v>115.09855265047905</v>
      </c>
      <c r="N281" s="17">
        <f t="shared" si="180"/>
        <v>54.460327983672997</v>
      </c>
      <c r="O281" s="17">
        <f t="shared" si="180"/>
        <v>19.732911846464681</v>
      </c>
      <c r="P281" s="17">
        <f t="shared" si="180"/>
        <v>46.109735992729945</v>
      </c>
      <c r="Q281" s="17">
        <f t="shared" si="180"/>
        <v>412.60369903029095</v>
      </c>
      <c r="R281" s="17">
        <f t="shared" si="180"/>
        <v>330.92899189021011</v>
      </c>
      <c r="S281" s="17">
        <f t="shared" si="180"/>
        <v>575.68775945913274</v>
      </c>
      <c r="T281" s="17">
        <f t="shared" si="180"/>
        <v>16577.418679746184</v>
      </c>
      <c r="U281" s="17">
        <f t="shared" si="180"/>
        <v>556.56307565045108</v>
      </c>
      <c r="V281" s="17">
        <f t="shared" si="180"/>
        <v>253.28537217711761</v>
      </c>
      <c r="W281" s="17">
        <f t="shared" si="180"/>
        <v>361.52698765276489</v>
      </c>
      <c r="X281" s="17">
        <f t="shared" si="180"/>
        <v>72.930128569569803</v>
      </c>
      <c r="Y281" s="64">
        <f t="shared" si="181"/>
        <v>-2.4762652863354884E-2</v>
      </c>
      <c r="Z281" s="84">
        <f t="shared" si="172"/>
        <v>0.26312732088397683</v>
      </c>
      <c r="AA281" s="89">
        <f t="shared" si="177"/>
        <v>2</v>
      </c>
      <c r="AB281" s="5">
        <f t="shared" si="178"/>
        <v>1.0798764272174077</v>
      </c>
    </row>
    <row r="282" spans="1:28">
      <c r="A282" s="17">
        <f t="shared" si="173"/>
        <v>1260</v>
      </c>
      <c r="B282" s="5">
        <f t="shared" si="176"/>
        <v>23.858369690429726</v>
      </c>
      <c r="D282" s="64">
        <f t="shared" si="170"/>
        <v>1.9761832048515193</v>
      </c>
      <c r="E282" s="64">
        <f t="shared" si="182"/>
        <v>1.9927299942441797E-4</v>
      </c>
      <c r="F282" s="64">
        <f t="shared" si="183"/>
        <v>1.9763824778509438</v>
      </c>
      <c r="G282" s="17">
        <f t="shared" si="179"/>
        <v>0.17152454677362947</v>
      </c>
      <c r="H282" s="17">
        <f t="shared" si="179"/>
        <v>0.26344069520436514</v>
      </c>
      <c r="I282" s="17">
        <f t="shared" si="179"/>
        <v>0.37698670252459937</v>
      </c>
      <c r="J282" s="17">
        <f t="shared" si="179"/>
        <v>0.51276635736279819</v>
      </c>
      <c r="K282" s="17">
        <f t="shared" si="179"/>
        <v>0.66801169237878766</v>
      </c>
      <c r="L282" s="64">
        <f t="shared" si="171"/>
        <v>3.9823739619560393E-2</v>
      </c>
      <c r="M282" s="17">
        <f t="shared" si="180"/>
        <v>111.99154295996875</v>
      </c>
      <c r="N282" s="17">
        <f t="shared" si="180"/>
        <v>52.251057913843056</v>
      </c>
      <c r="O282" s="17">
        <f t="shared" si="180"/>
        <v>18.821270979464412</v>
      </c>
      <c r="P282" s="17">
        <f t="shared" si="180"/>
        <v>43.823425149153188</v>
      </c>
      <c r="Q282" s="17">
        <f t="shared" si="180"/>
        <v>384.72222870640195</v>
      </c>
      <c r="R282" s="17">
        <f t="shared" si="180"/>
        <v>303.8207658634629</v>
      </c>
      <c r="S282" s="17">
        <f t="shared" si="180"/>
        <v>514.93125740889025</v>
      </c>
      <c r="T282" s="17">
        <f t="shared" si="180"/>
        <v>16568.846360188712</v>
      </c>
      <c r="U282" s="17">
        <f t="shared" si="180"/>
        <v>623.59097974621523</v>
      </c>
      <c r="V282" s="17">
        <f t="shared" si="180"/>
        <v>277.66631348096166</v>
      </c>
      <c r="W282" s="17">
        <f t="shared" si="180"/>
        <v>387.21278631891357</v>
      </c>
      <c r="X282" s="17">
        <f t="shared" si="180"/>
        <v>75.916663603602586</v>
      </c>
      <c r="Y282" s="64">
        <f t="shared" si="181"/>
        <v>-1.9654577554449881E-2</v>
      </c>
      <c r="Z282" s="84">
        <f t="shared" si="172"/>
        <v>0.20283418326815528</v>
      </c>
      <c r="AA282" s="89">
        <f t="shared" si="177"/>
        <v>2</v>
      </c>
      <c r="AB282" s="5">
        <f t="shared" si="178"/>
        <v>1.1908397574240337</v>
      </c>
    </row>
    <row r="283" spans="1:28">
      <c r="A283" s="17">
        <f t="shared" si="173"/>
        <v>1270</v>
      </c>
      <c r="B283" s="5">
        <f t="shared" si="176"/>
        <v>23.868736046559736</v>
      </c>
      <c r="D283" s="64">
        <f t="shared" si="170"/>
        <v>1.9744715559447619</v>
      </c>
      <c r="E283" s="64">
        <f t="shared" si="182"/>
        <v>1.9458170618200766E-4</v>
      </c>
      <c r="F283" s="64">
        <f t="shared" si="183"/>
        <v>1.9746661376509438</v>
      </c>
      <c r="G283" s="17">
        <f t="shared" si="179"/>
        <v>0.16748431591574528</v>
      </c>
      <c r="H283" s="17">
        <f t="shared" si="179"/>
        <v>0.25723627566308116</v>
      </c>
      <c r="I283" s="17">
        <f t="shared" si="179"/>
        <v>0.36810982861406061</v>
      </c>
      <c r="J283" s="17">
        <f t="shared" si="179"/>
        <v>0.50069537755462257</v>
      </c>
      <c r="K283" s="17">
        <f t="shared" si="179"/>
        <v>0.65229126407256699</v>
      </c>
      <c r="L283" s="64">
        <f t="shared" si="171"/>
        <v>3.8908579323046574E-2</v>
      </c>
      <c r="M283" s="17">
        <f t="shared" si="180"/>
        <v>108.99486658232483</v>
      </c>
      <c r="N283" s="17">
        <f t="shared" si="180"/>
        <v>50.159266020234853</v>
      </c>
      <c r="O283" s="17">
        <f t="shared" si="180"/>
        <v>17.964419673984139</v>
      </c>
      <c r="P283" s="17">
        <f t="shared" si="180"/>
        <v>41.684290995559984</v>
      </c>
      <c r="Q283" s="17">
        <f t="shared" si="180"/>
        <v>359.26951823925896</v>
      </c>
      <c r="R283" s="17">
        <f t="shared" si="180"/>
        <v>279.47670808445071</v>
      </c>
      <c r="S283" s="17">
        <f t="shared" si="180"/>
        <v>461.99562231950381</v>
      </c>
      <c r="T283" s="17">
        <f t="shared" si="180"/>
        <v>16535.53400820012</v>
      </c>
      <c r="U283" s="17">
        <f t="shared" si="180"/>
        <v>700.90721746210795</v>
      </c>
      <c r="V283" s="17">
        <f t="shared" si="180"/>
        <v>305.14424847518916</v>
      </c>
      <c r="W283" s="17">
        <f t="shared" si="180"/>
        <v>415.43196721760353</v>
      </c>
      <c r="X283" s="17">
        <f t="shared" si="180"/>
        <v>79.067632946816303</v>
      </c>
      <c r="Y283" s="64">
        <f t="shared" si="181"/>
        <v>-1.4583790487496806E-2</v>
      </c>
      <c r="Z283" s="84">
        <f t="shared" si="172"/>
        <v>0.16047366716727413</v>
      </c>
      <c r="AA283" s="89">
        <f t="shared" si="177"/>
        <v>2</v>
      </c>
      <c r="AB283" s="5">
        <f t="shared" si="178"/>
        <v>1.2764222027619065</v>
      </c>
    </row>
    <row r="284" spans="1:28">
      <c r="A284" s="17">
        <f t="shared" si="173"/>
        <v>1280</v>
      </c>
      <c r="B284" s="5">
        <f t="shared" si="176"/>
        <v>23.876050242276751</v>
      </c>
      <c r="D284" s="64">
        <f t="shared" si="170"/>
        <v>1.97326644675402</v>
      </c>
      <c r="E284" s="64">
        <f t="shared" si="182"/>
        <v>1.9003668617746086E-4</v>
      </c>
      <c r="F284" s="64">
        <f t="shared" si="183"/>
        <v>1.9734564834401975</v>
      </c>
      <c r="G284" s="17">
        <f t="shared" si="179"/>
        <v>0.16357014261609318</v>
      </c>
      <c r="H284" s="17">
        <f t="shared" si="179"/>
        <v>0.25122540448484676</v>
      </c>
      <c r="I284" s="17">
        <f t="shared" si="179"/>
        <v>0.35950980444093072</v>
      </c>
      <c r="J284" s="17">
        <f t="shared" si="179"/>
        <v>0.48900074531496818</v>
      </c>
      <c r="K284" s="17">
        <f t="shared" si="179"/>
        <v>0.63706076491776964</v>
      </c>
      <c r="L284" s="64">
        <f t="shared" si="171"/>
        <v>3.8021266683039269E-2</v>
      </c>
      <c r="M284" s="17">
        <f t="shared" si="180"/>
        <v>106.1036908476177</v>
      </c>
      <c r="N284" s="17">
        <f t="shared" si="180"/>
        <v>48.177275881848743</v>
      </c>
      <c r="O284" s="17">
        <f t="shared" si="180"/>
        <v>17.158340533767468</v>
      </c>
      <c r="P284" s="17">
        <f t="shared" si="180"/>
        <v>39.680798356943043</v>
      </c>
      <c r="Q284" s="17">
        <f t="shared" si="180"/>
        <v>335.99068325560398</v>
      </c>
      <c r="R284" s="17">
        <f t="shared" si="180"/>
        <v>257.56851079036659</v>
      </c>
      <c r="S284" s="17">
        <f t="shared" si="180"/>
        <v>415.73396024777054</v>
      </c>
      <c r="T284" s="17">
        <f t="shared" si="180"/>
        <v>16476.600097931198</v>
      </c>
      <c r="U284" s="17">
        <f t="shared" si="180"/>
        <v>790.33588778762612</v>
      </c>
      <c r="V284" s="17">
        <f t="shared" si="180"/>
        <v>336.2015323259314</v>
      </c>
      <c r="W284" s="17">
        <f t="shared" si="180"/>
        <v>446.50657620630074</v>
      </c>
      <c r="X284" s="17">
        <f t="shared" si="180"/>
        <v>82.394446544825101</v>
      </c>
      <c r="Y284" s="64">
        <f t="shared" si="181"/>
        <v>-9.4993692232070437E-3</v>
      </c>
      <c r="Z284" s="84">
        <f t="shared" si="172"/>
        <v>0.13106678254320872</v>
      </c>
      <c r="AA284" s="89">
        <f t="shared" si="177"/>
        <v>2</v>
      </c>
      <c r="AB284" s="5">
        <f t="shared" si="178"/>
        <v>1.3366776622990018</v>
      </c>
    </row>
    <row r="285" spans="1:28">
      <c r="A285" s="17">
        <f t="shared" si="173"/>
        <v>1290</v>
      </c>
      <c r="B285" s="5">
        <f t="shared" si="176"/>
        <v>23.880280848026167</v>
      </c>
      <c r="D285" s="71">
        <f t="shared" si="170"/>
        <v>1.9725716821001205</v>
      </c>
      <c r="E285" s="71">
        <f t="shared" ref="E285:E303" si="184">0.0001*SUM(G285:K285)</f>
        <v>1.8563227623536962E-4</v>
      </c>
      <c r="F285" s="71">
        <f t="shared" ref="F285:F303" si="185">D285+E285</f>
        <v>1.9727573143763559</v>
      </c>
      <c r="G285" s="17">
        <f t="shared" si="179"/>
        <v>0.15977714370999699</v>
      </c>
      <c r="H285" s="17">
        <f t="shared" si="179"/>
        <v>0.24540058313509097</v>
      </c>
      <c r="I285" s="17">
        <f t="shared" si="179"/>
        <v>0.3511759074207626</v>
      </c>
      <c r="J285" s="17">
        <f t="shared" si="179"/>
        <v>0.47766789024028705</v>
      </c>
      <c r="K285" s="17">
        <f t="shared" si="179"/>
        <v>0.62230123784755842</v>
      </c>
      <c r="L285" s="71">
        <f t="shared" si="171"/>
        <v>3.7160750011183026E-2</v>
      </c>
      <c r="M285" s="17">
        <f t="shared" si="180"/>
        <v>103.31343375347242</v>
      </c>
      <c r="N285" s="17">
        <f t="shared" si="180"/>
        <v>46.298002753045793</v>
      </c>
      <c r="O285" s="17">
        <f t="shared" si="180"/>
        <v>16.39936126421706</v>
      </c>
      <c r="P285" s="17">
        <f t="shared" si="180"/>
        <v>37.802468986436331</v>
      </c>
      <c r="Q285" s="17">
        <f t="shared" si="180"/>
        <v>314.66165749545814</v>
      </c>
      <c r="R285" s="17">
        <f t="shared" si="180"/>
        <v>237.8112407566058</v>
      </c>
      <c r="S285" s="17">
        <f t="shared" si="180"/>
        <v>375.18134657356666</v>
      </c>
      <c r="T285" s="17">
        <f t="shared" si="180"/>
        <v>16390.48355302426</v>
      </c>
      <c r="U285" s="17">
        <f t="shared" si="180"/>
        <v>894.0324257795711</v>
      </c>
      <c r="V285" s="17">
        <f t="shared" si="180"/>
        <v>371.40762095194265</v>
      </c>
      <c r="W285" s="17">
        <f t="shared" si="180"/>
        <v>480.80873753393104</v>
      </c>
      <c r="X285" s="17">
        <f t="shared" si="180"/>
        <v>85.909472016862864</v>
      </c>
      <c r="Y285" s="71">
        <f t="shared" ref="Y285:Y303" si="186">100*(D286-D284)/(A286-A284)</f>
        <v>-4.3573589592604822E-3</v>
      </c>
      <c r="Z285" s="84">
        <f t="shared" si="172"/>
        <v>0.11038233440128892</v>
      </c>
      <c r="AA285" s="89">
        <f t="shared" si="177"/>
        <v>2</v>
      </c>
      <c r="AB285" s="5">
        <f t="shared" si="178"/>
        <v>1.371415894993977</v>
      </c>
    </row>
    <row r="286" spans="1:28">
      <c r="A286" s="17">
        <f t="shared" si="173"/>
        <v>1300</v>
      </c>
      <c r="B286" s="5">
        <f t="shared" si="176"/>
        <v>23.881376285146406</v>
      </c>
      <c r="D286" s="71">
        <f t="shared" si="170"/>
        <v>1.9723949749621679</v>
      </c>
      <c r="E286" s="71">
        <f t="shared" si="184"/>
        <v>1.8136307493516593E-4</v>
      </c>
      <c r="F286" s="71">
        <f t="shared" si="185"/>
        <v>1.9725763380371031</v>
      </c>
      <c r="G286" s="17">
        <f t="shared" ref="G286:K295" si="187">200*PI()*G$50*((G$24-$A286)*(ASINH(G$32/MAX(ABS(G$24-$A286),0.000001))-ASINH(G$28/MAX(ABS(G$24-$A286),0.000001)))-(G$22-$A286)*(ASINH(G$32/MAX(ABS(G$22-$A286),0.000001))-ASINH(G$28/MAX(ABS(G$22-$A286),0.000001))))</f>
        <v>0.15610065877728377</v>
      </c>
      <c r="H286" s="17">
        <f t="shared" si="187"/>
        <v>0.23975466203594747</v>
      </c>
      <c r="I286" s="17">
        <f t="shared" si="187"/>
        <v>0.34309791250484395</v>
      </c>
      <c r="J286" s="17">
        <f t="shared" si="187"/>
        <v>0.46668291633492665</v>
      </c>
      <c r="K286" s="17">
        <f t="shared" si="187"/>
        <v>0.60799459969865721</v>
      </c>
      <c r="L286" s="71">
        <f t="shared" si="171"/>
        <v>3.6326024928923811E-2</v>
      </c>
      <c r="M286" s="17">
        <f t="shared" ref="M286:X295" si="188">200*PI()*M$50*((M$24-$A286)*(ASINH(M$32/MAX(ABS(M$24-$A286),0.000001))-ASINH(M$28/MAX(ABS(M$24-$A286),0.000001)))-(M$22-$A286)*(ASINH(M$32/MAX(ABS(M$22-$A286),0.000001))-ASINH(M$28/MAX(ABS(M$22-$A286),0.000001))))</f>
        <v>100.61974899409007</v>
      </c>
      <c r="N286" s="17">
        <f t="shared" si="188"/>
        <v>44.514901270091578</v>
      </c>
      <c r="O286" s="17">
        <f t="shared" si="188"/>
        <v>15.684120900731799</v>
      </c>
      <c r="P286" s="17">
        <f t="shared" si="188"/>
        <v>36.039771496941576</v>
      </c>
      <c r="Q286" s="17">
        <f t="shared" si="188"/>
        <v>295.08503956925165</v>
      </c>
      <c r="R286" s="17">
        <f t="shared" si="188"/>
        <v>219.95721027229388</v>
      </c>
      <c r="S286" s="17">
        <f t="shared" si="188"/>
        <v>339.52520734325827</v>
      </c>
      <c r="T286" s="17">
        <f t="shared" si="188"/>
        <v>16274.903006775858</v>
      </c>
      <c r="U286" s="17">
        <f t="shared" si="188"/>
        <v>1014.5282753101765</v>
      </c>
      <c r="V286" s="17">
        <f t="shared" si="188"/>
        <v>411.43630378026484</v>
      </c>
      <c r="W286" s="17">
        <f t="shared" si="188"/>
        <v>518.76978546798387</v>
      </c>
      <c r="X286" s="17">
        <f t="shared" si="188"/>
        <v>89.626129151495519</v>
      </c>
      <c r="Y286" s="71">
        <f t="shared" si="186"/>
        <v>8.7273949062716127E-4</v>
      </c>
      <c r="Z286" s="84">
        <f t="shared" si="172"/>
        <v>9.5474588289514078E-2</v>
      </c>
      <c r="AA286" s="89">
        <f t="shared" si="177"/>
        <v>2</v>
      </c>
      <c r="AB286" s="5">
        <f t="shared" si="178"/>
        <v>1.3802512518916066</v>
      </c>
    </row>
    <row r="287" spans="1:28">
      <c r="A287" s="17">
        <f t="shared" si="173"/>
        <v>1310</v>
      </c>
      <c r="B287" s="5">
        <f t="shared" si="176"/>
        <v>23.879275349655295</v>
      </c>
      <c r="D287" s="71">
        <f t="shared" si="170"/>
        <v>1.9727462299982459</v>
      </c>
      <c r="E287" s="71">
        <f t="shared" si="184"/>
        <v>1.7722392791395954E-4</v>
      </c>
      <c r="F287" s="71">
        <f t="shared" si="185"/>
        <v>1.9729234539261598</v>
      </c>
      <c r="G287" s="17">
        <f t="shared" si="187"/>
        <v>0.15253624485658773</v>
      </c>
      <c r="H287" s="17">
        <f t="shared" si="187"/>
        <v>0.23428081636952164</v>
      </c>
      <c r="I287" s="17">
        <f t="shared" si="187"/>
        <v>0.33526606002772597</v>
      </c>
      <c r="J287" s="17">
        <f t="shared" si="187"/>
        <v>0.4560325621086101</v>
      </c>
      <c r="K287" s="17">
        <f t="shared" si="187"/>
        <v>0.59412359577715013</v>
      </c>
      <c r="L287" s="71">
        <f t="shared" si="171"/>
        <v>3.5516131903879443E-2</v>
      </c>
      <c r="M287" s="17">
        <f t="shared" si="188"/>
        <v>98.018511998639298</v>
      </c>
      <c r="N287" s="17">
        <f t="shared" si="188"/>
        <v>42.821918353088684</v>
      </c>
      <c r="O287" s="17">
        <f t="shared" si="188"/>
        <v>15.009539729620807</v>
      </c>
      <c r="P287" s="17">
        <f t="shared" si="188"/>
        <v>34.384024043669768</v>
      </c>
      <c r="Q287" s="17">
        <f t="shared" si="188"/>
        <v>277.08654657903401</v>
      </c>
      <c r="R287" s="17">
        <f t="shared" si="188"/>
        <v>203.79073485095225</v>
      </c>
      <c r="S287" s="17">
        <f t="shared" si="188"/>
        <v>308.08024453326908</v>
      </c>
      <c r="T287" s="17">
        <f t="shared" si="188"/>
        <v>16126.804714614116</v>
      </c>
      <c r="U287" s="17">
        <f t="shared" si="188"/>
        <v>1154.7681097505915</v>
      </c>
      <c r="V287" s="17">
        <f t="shared" si="188"/>
        <v>457.08636964464677</v>
      </c>
      <c r="W287" s="17">
        <f t="shared" si="188"/>
        <v>560.89127169545782</v>
      </c>
      <c r="X287" s="17">
        <f t="shared" si="188"/>
        <v>93.558995150576024</v>
      </c>
      <c r="Y287" s="71">
        <f t="shared" si="186"/>
        <v>6.1991044687581542E-3</v>
      </c>
      <c r="Z287" s="84">
        <f t="shared" si="172"/>
        <v>8.4425211663022387E-2</v>
      </c>
      <c r="AA287" s="89">
        <f t="shared" si="177"/>
        <v>2</v>
      </c>
      <c r="AB287" s="5">
        <f t="shared" si="178"/>
        <v>1.3626885000877054</v>
      </c>
    </row>
    <row r="288" spans="1:28">
      <c r="A288" s="17">
        <f t="shared" si="173"/>
        <v>1320</v>
      </c>
      <c r="B288" s="5">
        <f t="shared" si="176"/>
        <v>23.873924063204907</v>
      </c>
      <c r="D288" s="71">
        <f t="shared" si="170"/>
        <v>1.9736347958559195</v>
      </c>
      <c r="E288" s="71">
        <f t="shared" si="184"/>
        <v>1.7320991506126964E-4</v>
      </c>
      <c r="F288" s="71">
        <f t="shared" si="185"/>
        <v>1.9738080057709808</v>
      </c>
      <c r="G288" s="17">
        <f t="shared" si="187"/>
        <v>0.14907965782656216</v>
      </c>
      <c r="H288" s="17">
        <f t="shared" si="187"/>
        <v>0.22897253128752484</v>
      </c>
      <c r="I288" s="17">
        <f t="shared" si="187"/>
        <v>0.32767103726017915</v>
      </c>
      <c r="J288" s="17">
        <f t="shared" si="187"/>
        <v>0.44570416998218498</v>
      </c>
      <c r="K288" s="17">
        <f t="shared" si="187"/>
        <v>0.58067175425624518</v>
      </c>
      <c r="L288" s="71">
        <f t="shared" si="171"/>
        <v>3.4730153930966567E-2</v>
      </c>
      <c r="M288" s="17">
        <f t="shared" si="188"/>
        <v>95.505806902139085</v>
      </c>
      <c r="N288" s="17">
        <f t="shared" si="188"/>
        <v>41.213450721814297</v>
      </c>
      <c r="O288" s="17">
        <f t="shared" si="188"/>
        <v>14.372792449049014</v>
      </c>
      <c r="P288" s="17">
        <f t="shared" si="188"/>
        <v>32.827308153388159</v>
      </c>
      <c r="Q288" s="17">
        <f t="shared" si="188"/>
        <v>260.51198098828604</v>
      </c>
      <c r="R288" s="17">
        <f t="shared" si="188"/>
        <v>189.12365525597414</v>
      </c>
      <c r="S288" s="17">
        <f t="shared" si="188"/>
        <v>280.26739675865338</v>
      </c>
      <c r="T288" s="17">
        <f t="shared" si="188"/>
        <v>15942.308038754569</v>
      </c>
      <c r="U288" s="17">
        <f t="shared" si="188"/>
        <v>1318.1275513642818</v>
      </c>
      <c r="V288" s="17">
        <f t="shared" si="188"/>
        <v>509.30625376069332</v>
      </c>
      <c r="W288" s="17">
        <f t="shared" si="188"/>
        <v>607.75826216710993</v>
      </c>
      <c r="X288" s="17">
        <f t="shared" si="188"/>
        <v>97.723921973568736</v>
      </c>
      <c r="Y288" s="71">
        <f t="shared" si="186"/>
        <v>1.159529037081497E-2</v>
      </c>
      <c r="Z288" s="84">
        <f t="shared" si="172"/>
        <v>7.6003039397213187E-2</v>
      </c>
      <c r="AA288" s="89">
        <f t="shared" si="177"/>
        <v>2</v>
      </c>
      <c r="AB288" s="5">
        <f t="shared" si="178"/>
        <v>1.318260207204025</v>
      </c>
    </row>
    <row r="289" spans="1:28">
      <c r="A289" s="17">
        <f t="shared" si="173"/>
        <v>1330</v>
      </c>
      <c r="B289" s="5">
        <f t="shared" si="176"/>
        <v>23.865301123082581</v>
      </c>
      <c r="D289" s="71">
        <f t="shared" si="170"/>
        <v>1.9750652880724089</v>
      </c>
      <c r="E289" s="71">
        <f t="shared" si="184"/>
        <v>1.6931633833782651E-4</v>
      </c>
      <c r="F289" s="71">
        <f t="shared" si="185"/>
        <v>1.9752346044107467</v>
      </c>
      <c r="G289" s="17">
        <f t="shared" si="187"/>
        <v>0.14572684670219632</v>
      </c>
      <c r="H289" s="17">
        <f t="shared" si="187"/>
        <v>0.22382358982951342</v>
      </c>
      <c r="I289" s="17">
        <f t="shared" si="187"/>
        <v>0.32030394847053467</v>
      </c>
      <c r="J289" s="17">
        <f t="shared" si="187"/>
        <v>0.43568565274126969</v>
      </c>
      <c r="K289" s="17">
        <f t="shared" si="187"/>
        <v>0.56762334563475092</v>
      </c>
      <c r="L289" s="71">
        <f t="shared" si="171"/>
        <v>3.3967214350149863E-2</v>
      </c>
      <c r="M289" s="17">
        <f t="shared" si="188"/>
        <v>93.077914380969744</v>
      </c>
      <c r="N289" s="17">
        <f t="shared" si="188"/>
        <v>39.684306536419918</v>
      </c>
      <c r="O289" s="17">
        <f t="shared" si="188"/>
        <v>13.771284193737877</v>
      </c>
      <c r="P289" s="17">
        <f t="shared" si="188"/>
        <v>31.362392300283055</v>
      </c>
      <c r="Q289" s="17">
        <f t="shared" si="188"/>
        <v>245.22463189963719</v>
      </c>
      <c r="R289" s="17">
        <f t="shared" si="188"/>
        <v>175.79151469025555</v>
      </c>
      <c r="S289" s="17">
        <f t="shared" si="188"/>
        <v>255.59628741218037</v>
      </c>
      <c r="T289" s="17">
        <f t="shared" si="188"/>
        <v>15716.664362970008</v>
      </c>
      <c r="U289" s="17">
        <f t="shared" si="188"/>
        <v>1508.3912658224676</v>
      </c>
      <c r="V289" s="17">
        <f t="shared" si="188"/>
        <v>569.22318230071153</v>
      </c>
      <c r="W289" s="17">
        <f t="shared" si="188"/>
        <v>660.05542732732999</v>
      </c>
      <c r="X289" s="17">
        <f t="shared" si="188"/>
        <v>102.13816738858284</v>
      </c>
      <c r="Y289" s="71">
        <f t="shared" si="186"/>
        <v>1.6983431885245759E-2</v>
      </c>
      <c r="Z289" s="84">
        <f t="shared" si="172"/>
        <v>6.9411656985684578E-2</v>
      </c>
      <c r="AA289" s="89">
        <f t="shared" si="177"/>
        <v>2</v>
      </c>
      <c r="AB289" s="5">
        <f t="shared" si="178"/>
        <v>1.2467355963795557</v>
      </c>
    </row>
    <row r="290" spans="1:28">
      <c r="A290" s="17">
        <f t="shared" si="173"/>
        <v>1340</v>
      </c>
      <c r="B290" s="5">
        <f t="shared" si="176"/>
        <v>23.8534547345769</v>
      </c>
      <c r="D290" s="71">
        <f t="shared" si="170"/>
        <v>1.9770314822329687</v>
      </c>
      <c r="E290" s="71">
        <f t="shared" si="184"/>
        <v>1.6553870976401992E-4</v>
      </c>
      <c r="F290" s="71">
        <f t="shared" si="185"/>
        <v>1.9771970209427328</v>
      </c>
      <c r="G290" s="17">
        <f t="shared" si="187"/>
        <v>0.14247394095281882</v>
      </c>
      <c r="H290" s="17">
        <f t="shared" si="187"/>
        <v>0.21882804994028979</v>
      </c>
      <c r="I290" s="17">
        <f t="shared" si="187"/>
        <v>0.31315629747556722</v>
      </c>
      <c r="J290" s="17">
        <f t="shared" si="187"/>
        <v>0.42596546451310863</v>
      </c>
      <c r="K290" s="17">
        <f t="shared" si="187"/>
        <v>0.55496334475841469</v>
      </c>
      <c r="L290" s="71">
        <f t="shared" si="171"/>
        <v>3.3226474791018389E-2</v>
      </c>
      <c r="M290" s="17">
        <f t="shared" si="188"/>
        <v>90.731300287645766</v>
      </c>
      <c r="N290" s="17">
        <f t="shared" si="188"/>
        <v>38.22967071399394</v>
      </c>
      <c r="O290" s="17">
        <f t="shared" si="188"/>
        <v>13.202629080667059</v>
      </c>
      <c r="P290" s="17">
        <f t="shared" si="188"/>
        <v>29.982664007708347</v>
      </c>
      <c r="Q290" s="17">
        <f t="shared" si="188"/>
        <v>231.10304440023287</v>
      </c>
      <c r="R290" s="17">
        <f t="shared" si="188"/>
        <v>163.65029543686592</v>
      </c>
      <c r="S290" s="17">
        <f t="shared" si="188"/>
        <v>233.65063381575106</v>
      </c>
      <c r="T290" s="17">
        <f t="shared" si="188"/>
        <v>15444.256029880753</v>
      </c>
      <c r="U290" s="17">
        <f t="shared" si="188"/>
        <v>1729.6595401609868</v>
      </c>
      <c r="V290" s="17">
        <f t="shared" si="188"/>
        <v>638.17718986597129</v>
      </c>
      <c r="W290" s="17">
        <f t="shared" si="188"/>
        <v>718.58653523843918</v>
      </c>
      <c r="X290" s="17">
        <f t="shared" si="188"/>
        <v>106.82054153048259</v>
      </c>
      <c r="Y290" s="71">
        <f t="shared" si="186"/>
        <v>2.221209403793889E-2</v>
      </c>
      <c r="Z290" s="84">
        <f t="shared" si="172"/>
        <v>6.4126812522916465E-2</v>
      </c>
      <c r="AA290" s="89">
        <f t="shared" si="177"/>
        <v>2</v>
      </c>
      <c r="AB290" s="5">
        <f t="shared" si="178"/>
        <v>1.1484258883515674</v>
      </c>
    </row>
    <row r="291" spans="1:28">
      <c r="A291" s="17">
        <f t="shared" si="173"/>
        <v>1350</v>
      </c>
      <c r="B291" s="5">
        <f t="shared" si="176"/>
        <v>23.83855389090159</v>
      </c>
      <c r="D291" s="71">
        <f t="shared" si="170"/>
        <v>1.9795077068799967</v>
      </c>
      <c r="E291" s="71">
        <f t="shared" si="184"/>
        <v>1.6187274091773371E-4</v>
      </c>
      <c r="F291" s="71">
        <f t="shared" si="185"/>
        <v>1.9796695796209145</v>
      </c>
      <c r="G291" s="17">
        <f t="shared" si="187"/>
        <v>0.13931724361564937</v>
      </c>
      <c r="H291" s="17">
        <f t="shared" si="187"/>
        <v>0.21398023412680534</v>
      </c>
      <c r="I291" s="17">
        <f t="shared" si="187"/>
        <v>0.3062199673679542</v>
      </c>
      <c r="J291" s="17">
        <f t="shared" si="187"/>
        <v>0.41653257080435041</v>
      </c>
      <c r="K291" s="17">
        <f t="shared" si="187"/>
        <v>0.54267739326257802</v>
      </c>
      <c r="L291" s="71">
        <f t="shared" si="171"/>
        <v>3.2507133235833152E-2</v>
      </c>
      <c r="M291" s="17">
        <f t="shared" si="188"/>
        <v>88.462605025438819</v>
      </c>
      <c r="N291" s="17">
        <f t="shared" si="188"/>
        <v>36.845073528475559</v>
      </c>
      <c r="O291" s="17">
        <f t="shared" si="188"/>
        <v>12.664630996270558</v>
      </c>
      <c r="P291" s="17">
        <f t="shared" si="188"/>
        <v>28.682069447864826</v>
      </c>
      <c r="Q291" s="17">
        <f t="shared" si="188"/>
        <v>218.03910117702955</v>
      </c>
      <c r="R291" s="17">
        <f t="shared" si="188"/>
        <v>152.57363200492443</v>
      </c>
      <c r="S291" s="17">
        <f t="shared" si="188"/>
        <v>214.07614120309509</v>
      </c>
      <c r="T291" s="17">
        <f t="shared" si="188"/>
        <v>15118.677210552019</v>
      </c>
      <c r="U291" s="17">
        <f t="shared" si="188"/>
        <v>1986.1355791321948</v>
      </c>
      <c r="V291" s="17">
        <f t="shared" si="188"/>
        <v>717.7600458191348</v>
      </c>
      <c r="W291" s="17">
        <f t="shared" si="188"/>
        <v>784.29807652034799</v>
      </c>
      <c r="X291" s="17">
        <f t="shared" si="188"/>
        <v>111.79157103484071</v>
      </c>
      <c r="Y291" s="71">
        <f t="shared" si="186"/>
        <v>2.7028425550504886E-2</v>
      </c>
      <c r="Z291" s="84">
        <f t="shared" si="172"/>
        <v>5.979608071067892E-2</v>
      </c>
      <c r="AA291" s="89">
        <f t="shared" si="177"/>
        <v>2</v>
      </c>
      <c r="AB291" s="5">
        <f t="shared" si="178"/>
        <v>1.0246146560001668</v>
      </c>
    </row>
    <row r="292" spans="1:28">
      <c r="A292" s="17">
        <f t="shared" si="173"/>
        <v>1360</v>
      </c>
      <c r="B292" s="5">
        <f t="shared" si="176"/>
        <v>23.820957001533898</v>
      </c>
      <c r="D292" s="71">
        <f t="shared" si="170"/>
        <v>1.9824371673430696</v>
      </c>
      <c r="E292" s="71">
        <f t="shared" si="184"/>
        <v>1.5831433258690911E-4</v>
      </c>
      <c r="F292" s="71">
        <f t="shared" si="185"/>
        <v>1.9825954816756566</v>
      </c>
      <c r="G292" s="17">
        <f t="shared" si="187"/>
        <v>0.13625321968403231</v>
      </c>
      <c r="H292" s="17">
        <f t="shared" si="187"/>
        <v>0.20927471775929576</v>
      </c>
      <c r="I292" s="17">
        <f t="shared" si="187"/>
        <v>0.29948719639482341</v>
      </c>
      <c r="J292" s="17">
        <f t="shared" si="187"/>
        <v>0.40737642638431548</v>
      </c>
      <c r="K292" s="17">
        <f t="shared" si="187"/>
        <v>0.53075176564662385</v>
      </c>
      <c r="L292" s="71">
        <f t="shared" si="171"/>
        <v>3.1808422193796738E-2</v>
      </c>
      <c r="M292" s="17">
        <f t="shared" si="188"/>
        <v>86.268633616252103</v>
      </c>
      <c r="N292" s="17">
        <f t="shared" si="188"/>
        <v>35.526362164115582</v>
      </c>
      <c r="O292" s="17">
        <f t="shared" si="188"/>
        <v>12.155266350443178</v>
      </c>
      <c r="P292" s="17">
        <f t="shared" si="188"/>
        <v>27.455059612233178</v>
      </c>
      <c r="Q292" s="17">
        <f t="shared" si="188"/>
        <v>205.93636944009464</v>
      </c>
      <c r="R292" s="17">
        <f t="shared" si="188"/>
        <v>142.45042947413597</v>
      </c>
      <c r="S292" s="17">
        <f t="shared" si="188"/>
        <v>196.57046584938522</v>
      </c>
      <c r="T292" s="17">
        <f t="shared" si="188"/>
        <v>14732.957912504693</v>
      </c>
      <c r="U292" s="17">
        <f t="shared" si="188"/>
        <v>2281.7269471683376</v>
      </c>
      <c r="V292" s="17">
        <f t="shared" si="188"/>
        <v>809.85844436185471</v>
      </c>
      <c r="W292" s="17">
        <f t="shared" si="188"/>
        <v>858.3078777948167</v>
      </c>
      <c r="X292" s="17">
        <f t="shared" si="188"/>
        <v>117.07368315636653</v>
      </c>
      <c r="Y292" s="71">
        <f t="shared" si="186"/>
        <v>3.1045270287969329E-2</v>
      </c>
      <c r="Z292" s="84">
        <f t="shared" si="172"/>
        <v>5.6177334145827346E-2</v>
      </c>
      <c r="AA292" s="89">
        <f t="shared" si="177"/>
        <v>2</v>
      </c>
      <c r="AB292" s="5">
        <f t="shared" si="178"/>
        <v>0.87814163284651858</v>
      </c>
    </row>
    <row r="293" spans="1:28">
      <c r="A293" s="17">
        <f t="shared" si="173"/>
        <v>1370</v>
      </c>
      <c r="B293" s="5">
        <f t="shared" si="176"/>
        <v>23.801299896233431</v>
      </c>
      <c r="D293" s="71">
        <f t="shared" si="170"/>
        <v>1.9857167609375905</v>
      </c>
      <c r="E293" s="71">
        <f t="shared" si="184"/>
        <v>1.5485956472105955E-4</v>
      </c>
      <c r="F293" s="71">
        <f t="shared" si="185"/>
        <v>1.9858716205023117</v>
      </c>
      <c r="G293" s="17">
        <f t="shared" si="187"/>
        <v>0.13327848943916834</v>
      </c>
      <c r="H293" s="17">
        <f t="shared" si="187"/>
        <v>0.20470631080163409</v>
      </c>
      <c r="I293" s="17">
        <f t="shared" si="187"/>
        <v>0.2929505656068353</v>
      </c>
      <c r="J293" s="17">
        <f t="shared" si="187"/>
        <v>0.39848694455372086</v>
      </c>
      <c r="K293" s="17">
        <f t="shared" si="187"/>
        <v>0.51917333680923672</v>
      </c>
      <c r="L293" s="71">
        <f t="shared" si="171"/>
        <v>3.1129606979720441E-2</v>
      </c>
      <c r="M293" s="17">
        <f t="shared" si="188"/>
        <v>84.146346403512126</v>
      </c>
      <c r="N293" s="17">
        <f t="shared" si="188"/>
        <v>34.2696748927019</v>
      </c>
      <c r="O293" s="17">
        <f t="shared" si="188"/>
        <v>11.672668589063321</v>
      </c>
      <c r="P293" s="17">
        <f t="shared" si="188"/>
        <v>26.296542284998242</v>
      </c>
      <c r="Q293" s="17">
        <f t="shared" si="188"/>
        <v>194.70867363140704</v>
      </c>
      <c r="R293" s="17">
        <f t="shared" si="188"/>
        <v>133.18282610263523</v>
      </c>
      <c r="S293" s="17">
        <f t="shared" si="188"/>
        <v>180.87489261968011</v>
      </c>
      <c r="T293" s="17">
        <f t="shared" si="188"/>
        <v>14280.011450043532</v>
      </c>
      <c r="U293" s="17">
        <f t="shared" si="188"/>
        <v>2619.3778064199942</v>
      </c>
      <c r="V293" s="17">
        <f t="shared" si="188"/>
        <v>916.69956267742418</v>
      </c>
      <c r="W293" s="17">
        <f t="shared" si="188"/>
        <v>941.93968330834082</v>
      </c>
      <c r="X293" s="17">
        <f t="shared" si="188"/>
        <v>122.69141260541504</v>
      </c>
      <c r="Y293" s="71">
        <f t="shared" si="186"/>
        <v>3.3705612507444194E-2</v>
      </c>
      <c r="Z293" s="84">
        <f t="shared" si="172"/>
        <v>5.3100660426918925E-2</v>
      </c>
      <c r="AA293" s="89">
        <f t="shared" si="177"/>
        <v>2</v>
      </c>
      <c r="AB293" s="5">
        <f t="shared" si="178"/>
        <v>0.71416195312047348</v>
      </c>
    </row>
    <row r="294" spans="1:28">
      <c r="A294" s="17">
        <f t="shared" si="173"/>
        <v>1380</v>
      </c>
      <c r="B294" s="5">
        <f t="shared" si="176"/>
        <v>23.780603267838998</v>
      </c>
      <c r="D294" s="71">
        <f t="shared" si="170"/>
        <v>1.9891782898445585</v>
      </c>
      <c r="E294" s="71">
        <f t="shared" si="184"/>
        <v>1.5150468792548384E-4</v>
      </c>
      <c r="F294" s="71">
        <f t="shared" si="185"/>
        <v>1.9893297945324839</v>
      </c>
      <c r="G294" s="17">
        <f t="shared" si="187"/>
        <v>0.13038981933823079</v>
      </c>
      <c r="H294" s="17">
        <f t="shared" si="187"/>
        <v>0.20027005155311703</v>
      </c>
      <c r="I294" s="17">
        <f t="shared" si="187"/>
        <v>0.28660297623821529</v>
      </c>
      <c r="J294" s="17">
        <f t="shared" si="187"/>
        <v>0.38985448059999589</v>
      </c>
      <c r="K294" s="17">
        <f t="shared" si="187"/>
        <v>0.50792955152527908</v>
      </c>
      <c r="L294" s="71">
        <f t="shared" si="171"/>
        <v>3.0469984089561787E-2</v>
      </c>
      <c r="M294" s="17">
        <f t="shared" si="188"/>
        <v>82.092850344929786</v>
      </c>
      <c r="N294" s="17">
        <f t="shared" si="188"/>
        <v>33.071417626111895</v>
      </c>
      <c r="O294" s="17">
        <f t="shared" si="188"/>
        <v>11.215114265270209</v>
      </c>
      <c r="P294" s="17">
        <f t="shared" si="188"/>
        <v>25.2018391222364</v>
      </c>
      <c r="Q294" s="17">
        <f t="shared" si="188"/>
        <v>184.27886061952037</v>
      </c>
      <c r="R294" s="17">
        <f t="shared" si="188"/>
        <v>124.68444834194439</v>
      </c>
      <c r="S294" s="17">
        <f t="shared" si="188"/>
        <v>166.76742866381429</v>
      </c>
      <c r="T294" s="17">
        <f t="shared" si="188"/>
        <v>13753.393578271456</v>
      </c>
      <c r="U294" s="17">
        <f t="shared" si="188"/>
        <v>3000.0461883313842</v>
      </c>
      <c r="V294" s="17">
        <f t="shared" si="188"/>
        <v>1040.8949218505225</v>
      </c>
      <c r="W294" s="17">
        <f t="shared" si="188"/>
        <v>1036.7647758257444</v>
      </c>
      <c r="X294" s="17">
        <f t="shared" si="188"/>
        <v>128.67163428703313</v>
      </c>
      <c r="Y294" s="71">
        <f t="shared" si="186"/>
        <v>3.4249964332730976E-2</v>
      </c>
      <c r="Z294" s="84">
        <f t="shared" si="172"/>
        <v>5.0444408243121658E-2</v>
      </c>
      <c r="AA294" s="89">
        <f t="shared" si="177"/>
        <v>2</v>
      </c>
      <c r="AB294" s="5">
        <f t="shared" si="178"/>
        <v>0.54108550777207665</v>
      </c>
    </row>
    <row r="295" spans="1:28">
      <c r="A295" s="17">
        <f t="shared" si="173"/>
        <v>1390</v>
      </c>
      <c r="B295" s="5">
        <f t="shared" si="176"/>
        <v>23.760395550116126</v>
      </c>
      <c r="D295" s="71">
        <f t="shared" si="170"/>
        <v>1.9925667538041367</v>
      </c>
      <c r="E295" s="71">
        <f t="shared" si="184"/>
        <v>1.4824611436237297E-4</v>
      </c>
      <c r="F295" s="71">
        <f t="shared" si="185"/>
        <v>1.9927149999184992</v>
      </c>
      <c r="G295" s="17">
        <f t="shared" si="187"/>
        <v>0.12758411813650425</v>
      </c>
      <c r="H295" s="17">
        <f t="shared" si="187"/>
        <v>0.1959611907728997</v>
      </c>
      <c r="I295" s="17">
        <f t="shared" si="187"/>
        <v>0.28043763629277169</v>
      </c>
      <c r="J295" s="17">
        <f t="shared" si="187"/>
        <v>0.38146980209547621</v>
      </c>
      <c r="K295" s="17">
        <f t="shared" si="187"/>
        <v>0.49700839632607779</v>
      </c>
      <c r="L295" s="71">
        <f t="shared" si="171"/>
        <v>2.9828879667147045E-2</v>
      </c>
      <c r="M295" s="17">
        <f t="shared" si="188"/>
        <v>80.105390862259625</v>
      </c>
      <c r="N295" s="17">
        <f t="shared" si="188"/>
        <v>31.928242597786266</v>
      </c>
      <c r="O295" s="17">
        <f t="shared" si="188"/>
        <v>10.781010486696147</v>
      </c>
      <c r="P295" s="17">
        <f t="shared" si="188"/>
        <v>24.166647231143788</v>
      </c>
      <c r="Q295" s="17">
        <f t="shared" si="188"/>
        <v>174.57772926025973</v>
      </c>
      <c r="R295" s="17">
        <f t="shared" si="188"/>
        <v>116.87891425583672</v>
      </c>
      <c r="S295" s="17">
        <f t="shared" si="188"/>
        <v>154.05706497224168</v>
      </c>
      <c r="T295" s="17">
        <f t="shared" si="188"/>
        <v>13148.43699647215</v>
      </c>
      <c r="U295" s="17">
        <f t="shared" si="188"/>
        <v>3421.2763189907482</v>
      </c>
      <c r="V295" s="17">
        <f t="shared" si="188"/>
        <v>1185.4748831206032</v>
      </c>
      <c r="W295" s="17">
        <f t="shared" si="188"/>
        <v>1144.6517175102563</v>
      </c>
      <c r="X295" s="17">
        <f t="shared" si="188"/>
        <v>135.04382560991465</v>
      </c>
      <c r="Y295" s="71">
        <f t="shared" si="186"/>
        <v>3.1699594941722031E-2</v>
      </c>
      <c r="Z295" s="84">
        <f t="shared" si="172"/>
        <v>4.8119834143767297E-2</v>
      </c>
      <c r="AA295" s="89">
        <f t="shared" si="177"/>
        <v>2</v>
      </c>
      <c r="AB295" s="5">
        <f t="shared" si="178"/>
        <v>0.37166230979316373</v>
      </c>
    </row>
    <row r="296" spans="1:28">
      <c r="A296" s="17">
        <f t="shared" si="173"/>
        <v>1400</v>
      </c>
      <c r="B296" s="5">
        <f t="shared" si="176"/>
        <v>23.742837875674315</v>
      </c>
      <c r="D296" s="71">
        <f t="shared" ref="D296:D306" si="189">L296+0.0001*SUM(M296:X296)</f>
        <v>1.9955182088329029</v>
      </c>
      <c r="E296" s="71">
        <f t="shared" si="184"/>
        <v>1.4508040972526195E-4</v>
      </c>
      <c r="F296" s="71">
        <f t="shared" si="185"/>
        <v>1.995663289242628</v>
      </c>
      <c r="G296" s="17">
        <f t="shared" ref="G296:K306" si="190">200*PI()*G$50*((G$24-$A296)*(ASINH(G$32/MAX(ABS(G$24-$A296),0.000001))-ASINH(G$28/MAX(ABS(G$24-$A296),0.000001)))-(G$22-$A296)*(ASINH(G$32/MAX(ABS(G$22-$A296),0.000001))-ASINH(G$28/MAX(ABS(G$22-$A296),0.000001))))</f>
        <v>0.12485842296865191</v>
      </c>
      <c r="H296" s="17">
        <f t="shared" si="190"/>
        <v>0.19177518209780797</v>
      </c>
      <c r="I296" s="17">
        <f t="shared" si="190"/>
        <v>0.27444804545640117</v>
      </c>
      <c r="J296" s="17">
        <f t="shared" si="190"/>
        <v>0.37332407421365588</v>
      </c>
      <c r="K296" s="17">
        <f t="shared" si="190"/>
        <v>0.48639837251610246</v>
      </c>
      <c r="L296" s="71">
        <f t="shared" ref="L296:L306" si="191">0.02*PI()*L$50*((L$24-$A296)*(ASINH(L$32/MAX(ABS(L$24-$A296),0.000001))-ASINH(L$28/MAX(ABS(L$24-$A296),0.000001)))-(L$22-$A296)*(ASINH(L$32/MAX(ABS(L$22-$A296),0.000001))-ASINH(L$28/MAX(ABS(L$22-$A296),0.000001))))</f>
        <v>2.9205648057314123E-2</v>
      </c>
      <c r="M296" s="17">
        <f t="shared" ref="M296:X306" si="192">200*PI()*M$50*((M$24-$A296)*(ASINH(M$32/MAX(ABS(M$24-$A296),0.000001))-ASINH(M$28/MAX(ABS(M$24-$A296),0.000001)))-(M$22-$A296)*(ASINH(M$32/MAX(ABS(M$22-$A296),0.000001))-ASINH(M$28/MAX(ABS(M$22-$A296),0.000001))))</f>
        <v>78.181344199394943</v>
      </c>
      <c r="N296" s="17">
        <f t="shared" si="192"/>
        <v>30.837028947618926</v>
      </c>
      <c r="O296" s="17">
        <f t="shared" si="192"/>
        <v>10.368883606525063</v>
      </c>
      <c r="P296" s="17">
        <f t="shared" si="192"/>
        <v>23.187004753873889</v>
      </c>
      <c r="Q296" s="17">
        <f t="shared" si="192"/>
        <v>165.54310060810721</v>
      </c>
      <c r="R296" s="17">
        <f t="shared" si="192"/>
        <v>109.6985480684027</v>
      </c>
      <c r="S296" s="17">
        <f t="shared" si="192"/>
        <v>142.57900045156941</v>
      </c>
      <c r="T296" s="17">
        <f t="shared" si="192"/>
        <v>12463.738694602662</v>
      </c>
      <c r="U296" s="17">
        <f t="shared" si="192"/>
        <v>3875.4261398302751</v>
      </c>
      <c r="V296" s="17">
        <f t="shared" si="192"/>
        <v>1353.9003706345209</v>
      </c>
      <c r="W296" s="17">
        <f t="shared" si="192"/>
        <v>1267.825129438922</v>
      </c>
      <c r="X296" s="17">
        <f t="shared" si="192"/>
        <v>141.84036261401175</v>
      </c>
      <c r="Y296" s="71">
        <f t="shared" si="186"/>
        <v>2.4885663887254106E-2</v>
      </c>
      <c r="Z296" s="84">
        <f t="shared" si="172"/>
        <v>4.6061067770963526E-2</v>
      </c>
      <c r="AA296" s="89">
        <f t="shared" si="177"/>
        <v>2</v>
      </c>
      <c r="AB296" s="5">
        <f t="shared" si="178"/>
        <v>0.22408955835485633</v>
      </c>
    </row>
    <row r="297" spans="1:28">
      <c r="A297" s="17">
        <f t="shared" si="173"/>
        <v>1410</v>
      </c>
      <c r="B297" s="5">
        <f t="shared" si="176"/>
        <v>23.730815348967795</v>
      </c>
      <c r="D297" s="71">
        <f t="shared" si="189"/>
        <v>1.9975438865815875</v>
      </c>
      <c r="E297" s="71">
        <f t="shared" si="184"/>
        <v>1.4200428641368359E-4</v>
      </c>
      <c r="F297" s="71">
        <f t="shared" si="185"/>
        <v>1.9976858908680013</v>
      </c>
      <c r="G297" s="17">
        <f t="shared" si="190"/>
        <v>0.12220990077492368</v>
      </c>
      <c r="H297" s="17">
        <f t="shared" si="190"/>
        <v>0.18770767600292301</v>
      </c>
      <c r="I297" s="17">
        <f t="shared" si="190"/>
        <v>0.26862798035699076</v>
      </c>
      <c r="J297" s="17">
        <f t="shared" si="190"/>
        <v>0.36540883779395644</v>
      </c>
      <c r="K297" s="17">
        <f t="shared" si="190"/>
        <v>0.47608846920804176</v>
      </c>
      <c r="L297" s="71">
        <f t="shared" si="191"/>
        <v>2.859967043785154E-2</v>
      </c>
      <c r="M297" s="17">
        <f t="shared" si="192"/>
        <v>76.318210256728392</v>
      </c>
      <c r="N297" s="17">
        <f t="shared" si="192"/>
        <v>29.794865035871968</v>
      </c>
      <c r="O297" s="17">
        <f t="shared" si="192"/>
        <v>9.9773690023686932</v>
      </c>
      <c r="P297" s="17">
        <f t="shared" si="192"/>
        <v>22.259259970933375</v>
      </c>
      <c r="Q297" s="17">
        <f t="shared" si="192"/>
        <v>157.11900867808404</v>
      </c>
      <c r="R297" s="17">
        <f t="shared" si="192"/>
        <v>103.08327429994398</v>
      </c>
      <c r="S297" s="17">
        <f t="shared" si="192"/>
        <v>132.19065942852407</v>
      </c>
      <c r="T297" s="17">
        <f t="shared" si="192"/>
        <v>11702.808000014873</v>
      </c>
      <c r="U297" s="17">
        <f t="shared" si="192"/>
        <v>4347.8310560589771</v>
      </c>
      <c r="V297" s="17">
        <f t="shared" si="192"/>
        <v>1550.0296634015108</v>
      </c>
      <c r="W297" s="17">
        <f t="shared" si="192"/>
        <v>1408.9339404314744</v>
      </c>
      <c r="X297" s="17">
        <f t="shared" si="192"/>
        <v>149.09685485807256</v>
      </c>
      <c r="Y297" s="71">
        <f t="shared" si="186"/>
        <v>1.2588177550771906E-2</v>
      </c>
      <c r="Z297" s="84">
        <f t="shared" si="172"/>
        <v>4.4218425804362846E-2</v>
      </c>
      <c r="AA297" s="89">
        <f t="shared" si="177"/>
        <v>2</v>
      </c>
      <c r="AB297" s="5">
        <f t="shared" si="178"/>
        <v>0.12280567092062267</v>
      </c>
    </row>
    <row r="298" spans="1:28">
      <c r="A298" s="17">
        <f t="shared" si="173"/>
        <v>1420</v>
      </c>
      <c r="B298" s="5">
        <f t="shared" si="176"/>
        <v>23.727911618875751</v>
      </c>
      <c r="D298" s="71">
        <f t="shared" si="189"/>
        <v>1.9980358443430573</v>
      </c>
      <c r="E298" s="71">
        <f t="shared" si="184"/>
        <v>1.390145947043559E-4</v>
      </c>
      <c r="F298" s="71">
        <f t="shared" si="185"/>
        <v>1.9981748589377617</v>
      </c>
      <c r="G298" s="17">
        <f t="shared" si="190"/>
        <v>0.11963583667560965</v>
      </c>
      <c r="H298" s="17">
        <f t="shared" si="190"/>
        <v>0.18375450230651885</v>
      </c>
      <c r="I298" s="17">
        <f t="shared" si="190"/>
        <v>0.26297147891407563</v>
      </c>
      <c r="J298" s="17">
        <f t="shared" si="190"/>
        <v>0.35771598988870201</v>
      </c>
      <c r="K298" s="17">
        <f t="shared" si="190"/>
        <v>0.46606813925865276</v>
      </c>
      <c r="L298" s="71">
        <f t="shared" si="191"/>
        <v>2.8010353527638036E-2</v>
      </c>
      <c r="M298" s="17">
        <f t="shared" si="192"/>
        <v>74.513605870865774</v>
      </c>
      <c r="N298" s="17">
        <f t="shared" si="192"/>
        <v>28.799032310219093</v>
      </c>
      <c r="O298" s="17">
        <f t="shared" si="192"/>
        <v>9.6052018450367989</v>
      </c>
      <c r="P298" s="17">
        <f t="shared" si="192"/>
        <v>21.38004354461582</v>
      </c>
      <c r="Q298" s="17">
        <f t="shared" si="192"/>
        <v>149.25499475360195</v>
      </c>
      <c r="R298" s="17">
        <f t="shared" si="192"/>
        <v>96.97966482802758</v>
      </c>
      <c r="S298" s="17">
        <f t="shared" si="192"/>
        <v>122.76836371586398</v>
      </c>
      <c r="T298" s="17">
        <f t="shared" si="192"/>
        <v>10875.453099254366</v>
      </c>
      <c r="U298" s="17">
        <f t="shared" si="192"/>
        <v>4815.5143965733942</v>
      </c>
      <c r="V298" s="17">
        <f t="shared" si="192"/>
        <v>1778.0055140214863</v>
      </c>
      <c r="W298" s="17">
        <f t="shared" si="192"/>
        <v>1571.1284666450194</v>
      </c>
      <c r="X298" s="17">
        <f t="shared" si="192"/>
        <v>156.85252479169517</v>
      </c>
      <c r="Y298" s="71">
        <f t="shared" si="186"/>
        <v>-6.1083773059023017E-3</v>
      </c>
      <c r="Z298" s="84">
        <f t="shared" si="172"/>
        <v>4.2553874155250339E-2</v>
      </c>
      <c r="AA298" s="89">
        <f t="shared" si="177"/>
        <v>2</v>
      </c>
      <c r="AB298" s="5">
        <f t="shared" si="178"/>
        <v>9.820778284713727E-2</v>
      </c>
    </row>
    <row r="299" spans="1:28">
      <c r="A299" s="17">
        <f t="shared" si="173"/>
        <v>1430</v>
      </c>
      <c r="B299" s="5">
        <f t="shared" si="176"/>
        <v>23.738109965139024</v>
      </c>
      <c r="D299" s="71">
        <f t="shared" si="189"/>
        <v>1.9963222111204071</v>
      </c>
      <c r="E299" s="71">
        <f t="shared" si="184"/>
        <v>1.3610831782601403E-4</v>
      </c>
      <c r="F299" s="71">
        <f t="shared" si="185"/>
        <v>1.996458319438233</v>
      </c>
      <c r="G299" s="17">
        <f t="shared" si="190"/>
        <v>0.11713362970045479</v>
      </c>
      <c r="H299" s="17">
        <f t="shared" si="190"/>
        <v>0.17991166937887249</v>
      </c>
      <c r="I299" s="17">
        <f t="shared" si="190"/>
        <v>0.25747283115707154</v>
      </c>
      <c r="J299" s="17">
        <f t="shared" si="190"/>
        <v>0.3502377677528975</v>
      </c>
      <c r="K299" s="17">
        <f t="shared" si="190"/>
        <v>0.45632728027084402</v>
      </c>
      <c r="L299" s="71">
        <f t="shared" si="191"/>
        <v>2.7437128365621417E-2</v>
      </c>
      <c r="M299" s="17">
        <f t="shared" si="192"/>
        <v>72.765258506803093</v>
      </c>
      <c r="N299" s="17">
        <f t="shared" si="192"/>
        <v>27.846990569880578</v>
      </c>
      <c r="O299" s="17">
        <f t="shared" si="192"/>
        <v>9.2512087420039162</v>
      </c>
      <c r="P299" s="17">
        <f t="shared" si="192"/>
        <v>20.546243541689442</v>
      </c>
      <c r="Q299" s="17">
        <f t="shared" si="192"/>
        <v>141.90549078765378</v>
      </c>
      <c r="R299" s="17">
        <f t="shared" si="192"/>
        <v>91.340116312497386</v>
      </c>
      <c r="S299" s="17">
        <f t="shared" si="192"/>
        <v>114.20454532057765</v>
      </c>
      <c r="T299" s="17">
        <f t="shared" si="192"/>
        <v>9998.3025342417277</v>
      </c>
      <c r="U299" s="17">
        <f t="shared" si="192"/>
        <v>5247.3829575142563</v>
      </c>
      <c r="V299" s="17">
        <f t="shared" si="192"/>
        <v>2042.0112166737999</v>
      </c>
      <c r="W299" s="17">
        <f t="shared" si="192"/>
        <v>1758.1436270340596</v>
      </c>
      <c r="X299" s="17">
        <f t="shared" si="192"/>
        <v>165.15063830290305</v>
      </c>
      <c r="Y299" s="71">
        <f t="shared" si="186"/>
        <v>-3.1137654594274311E-2</v>
      </c>
      <c r="Z299" s="84">
        <f t="shared" si="172"/>
        <v>4.1037893970022513E-2</v>
      </c>
      <c r="AA299" s="89">
        <f t="shared" si="177"/>
        <v>2</v>
      </c>
      <c r="AB299" s="5">
        <f t="shared" si="178"/>
        <v>0.18388944397964568</v>
      </c>
    </row>
    <row r="300" spans="1:28">
      <c r="A300" s="17">
        <f t="shared" si="173"/>
        <v>1440</v>
      </c>
      <c r="B300" s="5">
        <f t="shared" si="176"/>
        <v>23.765007783715902</v>
      </c>
      <c r="D300" s="71">
        <f t="shared" si="189"/>
        <v>1.9918083134242024</v>
      </c>
      <c r="E300" s="71">
        <f t="shared" si="184"/>
        <v>1.3328256406521831E-4</v>
      </c>
      <c r="F300" s="71">
        <f t="shared" si="185"/>
        <v>1.9919415959882676</v>
      </c>
      <c r="G300" s="17">
        <f t="shared" si="190"/>
        <v>0.11470078703674644</v>
      </c>
      <c r="H300" s="17">
        <f t="shared" si="190"/>
        <v>0.17617534997410594</v>
      </c>
      <c r="I300" s="17">
        <f t="shared" si="190"/>
        <v>0.25212656240163739</v>
      </c>
      <c r="J300" s="17">
        <f t="shared" si="190"/>
        <v>0.3429667328038763</v>
      </c>
      <c r="K300" s="17">
        <f t="shared" si="190"/>
        <v>0.44685620843581692</v>
      </c>
      <c r="L300" s="71">
        <f t="shared" si="191"/>
        <v>2.6879449154630582E-2</v>
      </c>
      <c r="M300" s="17">
        <f t="shared" si="192"/>
        <v>71.071000330043503</v>
      </c>
      <c r="N300" s="17">
        <f t="shared" si="192"/>
        <v>26.93636450733748</v>
      </c>
      <c r="O300" s="17">
        <f t="shared" si="192"/>
        <v>8.9143001624665441</v>
      </c>
      <c r="P300" s="17">
        <f t="shared" si="192"/>
        <v>19.754982933104245</v>
      </c>
      <c r="Q300" s="17">
        <f t="shared" si="192"/>
        <v>135.02927962549921</v>
      </c>
      <c r="R300" s="17">
        <f t="shared" si="192"/>
        <v>86.122138910521144</v>
      </c>
      <c r="S300" s="17">
        <f t="shared" si="192"/>
        <v>106.4054064220222</v>
      </c>
      <c r="T300" s="17">
        <f t="shared" si="192"/>
        <v>9093.9095573521645</v>
      </c>
      <c r="U300" s="17">
        <f t="shared" si="192"/>
        <v>5606.8994022268935</v>
      </c>
      <c r="V300" s="17">
        <f t="shared" si="192"/>
        <v>2345.8252722006569</v>
      </c>
      <c r="W300" s="17">
        <f t="shared" si="192"/>
        <v>1974.3819437850673</v>
      </c>
      <c r="X300" s="17">
        <f t="shared" si="192"/>
        <v>174.03899423993991</v>
      </c>
      <c r="Y300" s="71">
        <f t="shared" si="186"/>
        <v>-6.0503065278864065E-2</v>
      </c>
      <c r="Z300" s="84">
        <f t="shared" si="172"/>
        <v>3.9647281445423538E-2</v>
      </c>
      <c r="AA300" s="89">
        <f t="shared" si="177"/>
        <v>2</v>
      </c>
      <c r="AB300" s="5">
        <f t="shared" si="178"/>
        <v>0.40958432878988038</v>
      </c>
    </row>
    <row r="301" spans="1:28">
      <c r="A301" s="17">
        <f t="shared" si="173"/>
        <v>1450</v>
      </c>
      <c r="B301" s="5">
        <f t="shared" si="176"/>
        <v>23.810410896577974</v>
      </c>
      <c r="D301" s="71">
        <f t="shared" si="189"/>
        <v>1.9842215980646343</v>
      </c>
      <c r="E301" s="71">
        <f t="shared" si="184"/>
        <v>1.3053456144938462E-4</v>
      </c>
      <c r="F301" s="71">
        <f t="shared" si="185"/>
        <v>1.9843521326260836</v>
      </c>
      <c r="G301" s="17">
        <f t="shared" si="190"/>
        <v>0.11233491887222931</v>
      </c>
      <c r="H301" s="17">
        <f t="shared" si="190"/>
        <v>0.17254187609819691</v>
      </c>
      <c r="I301" s="17">
        <f t="shared" si="190"/>
        <v>0.24692742730052436</v>
      </c>
      <c r="J301" s="17">
        <f t="shared" si="190"/>
        <v>0.33589575154706208</v>
      </c>
      <c r="K301" s="17">
        <f t="shared" si="190"/>
        <v>0.4376456406758335</v>
      </c>
      <c r="L301" s="71">
        <f t="shared" si="191"/>
        <v>2.6336792169425645E-2</v>
      </c>
      <c r="M301" s="17">
        <f t="shared" si="192"/>
        <v>69.428762643259773</v>
      </c>
      <c r="N301" s="17">
        <f t="shared" si="192"/>
        <v>26.064931380262966</v>
      </c>
      <c r="O301" s="17">
        <f t="shared" si="192"/>
        <v>8.5934635716535475</v>
      </c>
      <c r="P301" s="17">
        <f t="shared" si="192"/>
        <v>19.003599300367554</v>
      </c>
      <c r="Q301" s="17">
        <f t="shared" si="192"/>
        <v>128.58902157882795</v>
      </c>
      <c r="R301" s="17">
        <f t="shared" si="192"/>
        <v>81.287740131150329</v>
      </c>
      <c r="S301" s="17">
        <f t="shared" si="192"/>
        <v>99.288950024888024</v>
      </c>
      <c r="T301" s="17">
        <f t="shared" si="192"/>
        <v>8188.3006245811957</v>
      </c>
      <c r="U301" s="17">
        <f t="shared" si="192"/>
        <v>5857.6475224964634</v>
      </c>
      <c r="V301" s="17">
        <f t="shared" si="192"/>
        <v>2692.0890955258278</v>
      </c>
      <c r="W301" s="17">
        <f t="shared" si="192"/>
        <v>2224.9838656790635</v>
      </c>
      <c r="X301" s="17">
        <f t="shared" si="192"/>
        <v>183.57048203912163</v>
      </c>
      <c r="Y301" s="71">
        <f t="shared" si="186"/>
        <v>-8.9480781000046417E-2</v>
      </c>
      <c r="Z301" s="84">
        <f t="shared" si="172"/>
        <v>3.8363579413812583E-2</v>
      </c>
      <c r="AA301" s="89">
        <f t="shared" si="177"/>
        <v>2</v>
      </c>
      <c r="AB301" s="5">
        <f t="shared" si="178"/>
        <v>0.78892009676828634</v>
      </c>
    </row>
    <row r="302" spans="1:28">
      <c r="A302" s="17">
        <f t="shared" si="173"/>
        <v>1460</v>
      </c>
      <c r="B302" s="5">
        <f t="shared" si="176"/>
        <v>23.872521045545291</v>
      </c>
      <c r="D302" s="71">
        <f t="shared" si="189"/>
        <v>1.9739121572241931</v>
      </c>
      <c r="E302" s="71">
        <f t="shared" si="184"/>
        <v>1.278616517904927E-4</v>
      </c>
      <c r="F302" s="71">
        <f t="shared" si="185"/>
        <v>1.9740400188759837</v>
      </c>
      <c r="G302" s="17">
        <f t="shared" si="190"/>
        <v>0.1100337358527349</v>
      </c>
      <c r="H302" s="17">
        <f t="shared" si="190"/>
        <v>0.16900772912203657</v>
      </c>
      <c r="I302" s="17">
        <f t="shared" si="190"/>
        <v>0.24187039277442332</v>
      </c>
      <c r="J302" s="17">
        <f t="shared" si="190"/>
        <v>0.32901798603095872</v>
      </c>
      <c r="K302" s="17">
        <f t="shared" si="190"/>
        <v>0.42868667412477346</v>
      </c>
      <c r="L302" s="71">
        <f t="shared" si="191"/>
        <v>2.5808654721561283E-2</v>
      </c>
      <c r="M302" s="17">
        <f t="shared" si="192"/>
        <v>67.836570657108254</v>
      </c>
      <c r="N302" s="17">
        <f t="shared" si="192"/>
        <v>25.230609733161319</v>
      </c>
      <c r="O302" s="17">
        <f t="shared" si="192"/>
        <v>8.2877571919540483</v>
      </c>
      <c r="P302" s="17">
        <f t="shared" si="192"/>
        <v>18.28962650210039</v>
      </c>
      <c r="Q302" s="17">
        <f t="shared" si="192"/>
        <v>122.55083842427418</v>
      </c>
      <c r="R302" s="17">
        <f t="shared" si="192"/>
        <v>76.802890150399605</v>
      </c>
      <c r="S302" s="17">
        <f t="shared" si="192"/>
        <v>92.783318448891066</v>
      </c>
      <c r="T302" s="17">
        <f t="shared" si="192"/>
        <v>7307.488100264286</v>
      </c>
      <c r="U302" s="17">
        <f t="shared" si="192"/>
        <v>5970.8931499621112</v>
      </c>
      <c r="V302" s="17">
        <f t="shared" si="192"/>
        <v>3081.2051039130793</v>
      </c>
      <c r="W302" s="17">
        <f t="shared" si="192"/>
        <v>2515.8633416278085</v>
      </c>
      <c r="X302" s="17">
        <f t="shared" si="192"/>
        <v>193.80371815114381</v>
      </c>
      <c r="Y302" s="71">
        <f t="shared" si="186"/>
        <v>-0.11078111158060566</v>
      </c>
      <c r="Z302" s="84">
        <f t="shared" si="172"/>
        <v>3.717194323146502E-2</v>
      </c>
      <c r="AA302" s="89">
        <f t="shared" si="177"/>
        <v>2</v>
      </c>
      <c r="AB302" s="5">
        <f t="shared" ref="AB302:AB306" si="193">100*(1-D302/AA302)</f>
        <v>1.3043921387903445</v>
      </c>
    </row>
    <row r="303" spans="1:28">
      <c r="A303" s="17">
        <f t="shared" si="173"/>
        <v>1470</v>
      </c>
      <c r="B303" s="5">
        <f t="shared" si="176"/>
        <v>23.944493879659021</v>
      </c>
      <c r="D303" s="71">
        <f t="shared" si="189"/>
        <v>1.9620653757485131</v>
      </c>
      <c r="E303" s="71">
        <f t="shared" si="184"/>
        <v>1.2526128531020541E-4</v>
      </c>
      <c r="F303" s="71">
        <f t="shared" si="185"/>
        <v>1.9621906370338233</v>
      </c>
      <c r="G303" s="17">
        <f t="shared" si="190"/>
        <v>0.10779503881624081</v>
      </c>
      <c r="H303" s="17">
        <f t="shared" si="190"/>
        <v>0.16556953528629953</v>
      </c>
      <c r="I303" s="17">
        <f t="shared" si="190"/>
        <v>0.23695063455470997</v>
      </c>
      <c r="J303" s="17">
        <f t="shared" si="190"/>
        <v>0.32232687545085498</v>
      </c>
      <c r="K303" s="17">
        <f t="shared" si="190"/>
        <v>0.41997076899394875</v>
      </c>
      <c r="L303" s="71">
        <f t="shared" si="191"/>
        <v>2.5294554180318153E-2</v>
      </c>
      <c r="M303" s="17">
        <f t="shared" si="192"/>
        <v>66.292538567241238</v>
      </c>
      <c r="N303" s="17">
        <f t="shared" si="192"/>
        <v>24.431449058825699</v>
      </c>
      <c r="O303" s="17">
        <f t="shared" si="192"/>
        <v>7.99630433660331</v>
      </c>
      <c r="P303" s="17">
        <f t="shared" si="192"/>
        <v>17.610778104367821</v>
      </c>
      <c r="Q303" s="17">
        <f t="shared" si="192"/>
        <v>116.8839472081859</v>
      </c>
      <c r="R303" s="17">
        <f t="shared" si="192"/>
        <v>72.637056982789133</v>
      </c>
      <c r="S303" s="17">
        <f t="shared" si="192"/>
        <v>86.825387999354064</v>
      </c>
      <c r="T303" s="17">
        <f t="shared" si="192"/>
        <v>6473.9826460178783</v>
      </c>
      <c r="U303" s="17">
        <f t="shared" si="192"/>
        <v>5932.7418280964421</v>
      </c>
      <c r="V303" s="17">
        <f t="shared" si="192"/>
        <v>3509.8299742150461</v>
      </c>
      <c r="W303" s="17">
        <f t="shared" si="192"/>
        <v>2853.6725312421422</v>
      </c>
      <c r="X303" s="17">
        <f t="shared" si="192"/>
        <v>204.80377385307426</v>
      </c>
      <c r="Y303" s="71">
        <f t="shared" si="186"/>
        <v>-0.11636678459375882</v>
      </c>
      <c r="Z303" s="84">
        <f t="shared" si="172"/>
        <v>3.6060309735839284E-2</v>
      </c>
      <c r="AA303" s="89">
        <f t="shared" si="177"/>
        <v>2</v>
      </c>
      <c r="AB303" s="5">
        <f t="shared" si="193"/>
        <v>1.896731212574343</v>
      </c>
    </row>
    <row r="304" spans="1:28">
      <c r="A304" s="17">
        <f t="shared" si="173"/>
        <v>1480</v>
      </c>
      <c r="B304" s="5">
        <f t="shared" si="176"/>
        <v>24.01453434385876</v>
      </c>
      <c r="D304" s="71">
        <f t="shared" si="189"/>
        <v>1.9506388003054413</v>
      </c>
      <c r="E304" s="71">
        <f t="shared" ref="E304:E306" si="194">0.0001*SUM(G304:K304)</f>
        <v>1.2273101541940696E-4</v>
      </c>
      <c r="F304" s="71">
        <f t="shared" ref="F304:F306" si="195">D304+E304</f>
        <v>1.9507615313208608</v>
      </c>
      <c r="G304" s="17">
        <f t="shared" si="190"/>
        <v>0.1056167184966052</v>
      </c>
      <c r="H304" s="17">
        <f t="shared" si="190"/>
        <v>0.16222405769577491</v>
      </c>
      <c r="I304" s="17">
        <f t="shared" si="190"/>
        <v>0.23216352011345703</v>
      </c>
      <c r="J304" s="17">
        <f t="shared" si="190"/>
        <v>0.31581612569415091</v>
      </c>
      <c r="K304" s="17">
        <f t="shared" si="190"/>
        <v>0.41148973219408147</v>
      </c>
      <c r="L304" s="71">
        <f t="shared" si="191"/>
        <v>2.4794027045203799E-2</v>
      </c>
      <c r="M304" s="17">
        <f t="shared" si="192"/>
        <v>64.794864930648956</v>
      </c>
      <c r="N304" s="17">
        <f t="shared" si="192"/>
        <v>23.665620307464497</v>
      </c>
      <c r="O304" s="17">
        <f t="shared" si="192"/>
        <v>7.7182882450615526</v>
      </c>
      <c r="P304" s="17">
        <f t="shared" si="192"/>
        <v>16.964932373587118</v>
      </c>
      <c r="Q304" s="17">
        <f t="shared" si="192"/>
        <v>111.56033729821223</v>
      </c>
      <c r="R304" s="17">
        <f t="shared" si="192"/>
        <v>68.762801655760512</v>
      </c>
      <c r="S304" s="17">
        <f t="shared" si="192"/>
        <v>81.35957733553883</v>
      </c>
      <c r="T304" s="17">
        <f t="shared" si="192"/>
        <v>5704.3407556362336</v>
      </c>
      <c r="U304" s="17">
        <f t="shared" si="192"/>
        <v>5747.9387702915774</v>
      </c>
      <c r="V304" s="17">
        <f t="shared" si="192"/>
        <v>3969.0576773319035</v>
      </c>
      <c r="W304" s="17">
        <f t="shared" si="192"/>
        <v>3245.6410979580373</v>
      </c>
      <c r="X304" s="17">
        <f t="shared" si="192"/>
        <v>216.64300923834804</v>
      </c>
      <c r="Y304" s="71">
        <f t="shared" ref="Y304:Y305" si="196">100*(D305-D303)/(A305-A303)</f>
        <v>-0.10070004542579669</v>
      </c>
      <c r="Z304" s="84">
        <f t="shared" si="172"/>
        <v>3.501878068796592E-2</v>
      </c>
      <c r="AA304" s="89">
        <f t="shared" si="177"/>
        <v>2</v>
      </c>
      <c r="AB304" s="5">
        <f t="shared" si="193"/>
        <v>2.4680599847279328</v>
      </c>
    </row>
    <row r="305" spans="1:28">
      <c r="A305" s="17">
        <f t="shared" si="173"/>
        <v>1490</v>
      </c>
      <c r="B305" s="5">
        <f t="shared" si="176"/>
        <v>24.068362602531629</v>
      </c>
      <c r="D305" s="71">
        <f t="shared" si="189"/>
        <v>1.9419253666633538</v>
      </c>
      <c r="E305" s="71">
        <f t="shared" si="194"/>
        <v>1.2026849409910062E-4</v>
      </c>
      <c r="F305" s="71">
        <f t="shared" si="195"/>
        <v>1.9420456351574529</v>
      </c>
      <c r="G305" s="17">
        <f t="shared" si="190"/>
        <v>0.10349675148494124</v>
      </c>
      <c r="H305" s="17">
        <f t="shared" si="190"/>
        <v>0.15896818853737993</v>
      </c>
      <c r="I305" s="17">
        <f t="shared" si="190"/>
        <v>0.22750460666089869</v>
      </c>
      <c r="J305" s="17">
        <f t="shared" si="190"/>
        <v>0.30947969460280428</v>
      </c>
      <c r="K305" s="17">
        <f t="shared" si="190"/>
        <v>0.40323569970498208</v>
      </c>
      <c r="L305" s="71">
        <f t="shared" si="191"/>
        <v>2.4306628066832498E-2</v>
      </c>
      <c r="M305" s="17">
        <f t="shared" si="192"/>
        <v>63.341828302618694</v>
      </c>
      <c r="N305" s="17">
        <f t="shared" si="192"/>
        <v>22.931407177226106</v>
      </c>
      <c r="O305" s="17">
        <f t="shared" si="192"/>
        <v>7.452947390616008</v>
      </c>
      <c r="P305" s="17">
        <f t="shared" si="192"/>
        <v>16.350118684162947</v>
      </c>
      <c r="Q305" s="17">
        <f t="shared" si="192"/>
        <v>106.55448510071685</v>
      </c>
      <c r="R305" s="17">
        <f t="shared" si="192"/>
        <v>65.155425015398123</v>
      </c>
      <c r="S305" s="17">
        <f t="shared" si="192"/>
        <v>76.336834488762577</v>
      </c>
      <c r="T305" s="17">
        <f t="shared" si="192"/>
        <v>5008.2674762200604</v>
      </c>
      <c r="U305" s="17">
        <f t="shared" si="192"/>
        <v>5438.547359919824</v>
      </c>
      <c r="V305" s="17">
        <f t="shared" si="192"/>
        <v>4442.6319927996201</v>
      </c>
      <c r="W305" s="17">
        <f t="shared" si="192"/>
        <v>3699.2154799996556</v>
      </c>
      <c r="X305" s="17">
        <f t="shared" si="192"/>
        <v>229.40203086654793</v>
      </c>
      <c r="Y305" s="71">
        <f t="shared" si="196"/>
        <v>-6.3937637856829044E-2</v>
      </c>
      <c r="Z305" s="84">
        <f t="shared" si="172"/>
        <v>3.4039160020677632E-2</v>
      </c>
      <c r="AA305" s="89">
        <f t="shared" si="177"/>
        <v>2</v>
      </c>
      <c r="AB305" s="5">
        <f t="shared" si="193"/>
        <v>2.9037316668323099</v>
      </c>
    </row>
    <row r="306" spans="1:28">
      <c r="A306" s="17">
        <f t="shared" si="173"/>
        <v>1500</v>
      </c>
      <c r="B306" s="5">
        <f t="shared" si="176"/>
        <v>24.09366303658858</v>
      </c>
      <c r="D306" s="71">
        <f t="shared" si="189"/>
        <v>1.9378512727340755</v>
      </c>
      <c r="E306" s="71">
        <f t="shared" si="194"/>
        <v>1.178714671703256E-4</v>
      </c>
      <c r="F306" s="71">
        <f t="shared" si="195"/>
        <v>1.9379691442012459</v>
      </c>
      <c r="G306" s="17">
        <f t="shared" si="190"/>
        <v>0.10143319667902541</v>
      </c>
      <c r="H306" s="17">
        <f t="shared" si="190"/>
        <v>0.15579894550320048</v>
      </c>
      <c r="I306" s="17">
        <f t="shared" si="190"/>
        <v>0.22296962558778324</v>
      </c>
      <c r="J306" s="17">
        <f t="shared" si="190"/>
        <v>0.30331178327270009</v>
      </c>
      <c r="K306" s="17">
        <f t="shared" si="190"/>
        <v>0.39520112066054686</v>
      </c>
      <c r="L306" s="71">
        <f t="shared" si="191"/>
        <v>2.3831929413830711E-2</v>
      </c>
      <c r="M306" s="17">
        <f t="shared" si="192"/>
        <v>61.931783145795791</v>
      </c>
      <c r="N306" s="17">
        <f t="shared" si="192"/>
        <v>22.227198103609968</v>
      </c>
      <c r="O306" s="17">
        <f t="shared" si="192"/>
        <v>7.1995711878882247</v>
      </c>
      <c r="P306" s="17">
        <f t="shared" si="192"/>
        <v>15.764505178453975</v>
      </c>
      <c r="Q306" s="17">
        <f t="shared" si="192"/>
        <v>101.84310158603718</v>
      </c>
      <c r="R306" s="17">
        <f t="shared" si="192"/>
        <v>61.792659034537913</v>
      </c>
      <c r="S306" s="17">
        <f t="shared" si="192"/>
        <v>71.713773609013842</v>
      </c>
      <c r="T306" s="17">
        <f t="shared" si="192"/>
        <v>4389.1355376883812</v>
      </c>
      <c r="U306" s="17">
        <f t="shared" si="192"/>
        <v>5038.133060865207</v>
      </c>
      <c r="V306" s="17">
        <f t="shared" si="192"/>
        <v>4905.8709769418119</v>
      </c>
      <c r="W306" s="17">
        <f t="shared" si="192"/>
        <v>4221.410472123348</v>
      </c>
      <c r="X306" s="17">
        <f t="shared" si="192"/>
        <v>243.1707937383606</v>
      </c>
      <c r="Y306" s="71"/>
      <c r="Z306" s="84">
        <f t="shared" si="172"/>
        <v>3.3114602748740597E-2</v>
      </c>
      <c r="AA306" s="89">
        <f t="shared" si="177"/>
        <v>2</v>
      </c>
      <c r="AB306" s="5">
        <f t="shared" si="193"/>
        <v>3.1074363632962232</v>
      </c>
    </row>
    <row r="307" spans="1:28">
      <c r="A307" s="70" t="s">
        <v>2</v>
      </c>
      <c r="D307" s="70" t="s">
        <v>41</v>
      </c>
      <c r="E307" s="70" t="s">
        <v>52</v>
      </c>
      <c r="F307" s="70" t="s">
        <v>42</v>
      </c>
      <c r="G307" s="70" t="s">
        <v>32</v>
      </c>
      <c r="H307" s="70" t="s">
        <v>32</v>
      </c>
      <c r="I307" s="70" t="s">
        <v>32</v>
      </c>
      <c r="J307" s="70" t="s">
        <v>32</v>
      </c>
      <c r="K307" s="70" t="s">
        <v>32</v>
      </c>
      <c r="L307" s="70" t="s">
        <v>169</v>
      </c>
      <c r="M307" s="70" t="s">
        <v>32</v>
      </c>
      <c r="N307" s="70" t="s">
        <v>32</v>
      </c>
      <c r="O307" s="70" t="s">
        <v>32</v>
      </c>
      <c r="P307" s="70" t="s">
        <v>32</v>
      </c>
      <c r="Q307" s="70" t="s">
        <v>32</v>
      </c>
      <c r="R307" s="70" t="s">
        <v>32</v>
      </c>
      <c r="S307" s="70" t="s">
        <v>32</v>
      </c>
      <c r="T307" s="70" t="s">
        <v>32</v>
      </c>
      <c r="U307" s="70" t="s">
        <v>32</v>
      </c>
      <c r="V307" s="70" t="s">
        <v>32</v>
      </c>
      <c r="W307" s="70" t="s">
        <v>32</v>
      </c>
      <c r="X307" s="70" t="s">
        <v>32</v>
      </c>
      <c r="Y307" s="70" t="s">
        <v>47</v>
      </c>
      <c r="AA307" s="70" t="s">
        <v>45</v>
      </c>
      <c r="AB307" s="5"/>
    </row>
    <row r="308" spans="1:28">
      <c r="C308" s="5"/>
    </row>
  </sheetData>
  <mergeCells count="87">
    <mergeCell ref="A87:D87"/>
    <mergeCell ref="A88:D88"/>
    <mergeCell ref="A89:D89"/>
    <mergeCell ref="A90:D90"/>
    <mergeCell ref="A82:D82"/>
    <mergeCell ref="A83:D83"/>
    <mergeCell ref="A84:D84"/>
    <mergeCell ref="A85:D85"/>
    <mergeCell ref="A86:D86"/>
    <mergeCell ref="A76:D76"/>
    <mergeCell ref="A77:D77"/>
    <mergeCell ref="A79:D79"/>
    <mergeCell ref="A80:D80"/>
    <mergeCell ref="A81:D81"/>
    <mergeCell ref="C78:D78"/>
    <mergeCell ref="A70:D70"/>
    <mergeCell ref="A71:D71"/>
    <mergeCell ref="A72:D72"/>
    <mergeCell ref="A74:D74"/>
    <mergeCell ref="A75:D75"/>
    <mergeCell ref="A73:D73"/>
    <mergeCell ref="A62:D62"/>
    <mergeCell ref="A65:D65"/>
    <mergeCell ref="A66:D66"/>
    <mergeCell ref="A68:D68"/>
    <mergeCell ref="A69:D69"/>
    <mergeCell ref="A63:C63"/>
    <mergeCell ref="A64:C64"/>
    <mergeCell ref="A67:D67"/>
    <mergeCell ref="A19:D19"/>
    <mergeCell ref="A20:D20"/>
    <mergeCell ref="A33:D33"/>
    <mergeCell ref="A37:D37"/>
    <mergeCell ref="A14:D14"/>
    <mergeCell ref="A15:D15"/>
    <mergeCell ref="A16:D16"/>
    <mergeCell ref="A22:D22"/>
    <mergeCell ref="A24:D24"/>
    <mergeCell ref="A26:D26"/>
    <mergeCell ref="A27:C27"/>
    <mergeCell ref="A31:D31"/>
    <mergeCell ref="A32:D32"/>
    <mergeCell ref="A30:D30"/>
    <mergeCell ref="A4:D4"/>
    <mergeCell ref="A18:D18"/>
    <mergeCell ref="A3:D3"/>
    <mergeCell ref="A9:D9"/>
    <mergeCell ref="A10:D10"/>
    <mergeCell ref="A11:D11"/>
    <mergeCell ref="A13:D13"/>
    <mergeCell ref="A17:D17"/>
    <mergeCell ref="A6:D6"/>
    <mergeCell ref="A42:D42"/>
    <mergeCell ref="A34:D34"/>
    <mergeCell ref="A35:D35"/>
    <mergeCell ref="A40:D40"/>
    <mergeCell ref="A38:D38"/>
    <mergeCell ref="A39:D39"/>
    <mergeCell ref="A41:D41"/>
    <mergeCell ref="A60:C60"/>
    <mergeCell ref="A61:C61"/>
    <mergeCell ref="A52:D52"/>
    <mergeCell ref="A59:C59"/>
    <mergeCell ref="A56:C56"/>
    <mergeCell ref="A57:C57"/>
    <mergeCell ref="A55:C55"/>
    <mergeCell ref="A51:D51"/>
    <mergeCell ref="A46:D46"/>
    <mergeCell ref="A49:D49"/>
    <mergeCell ref="A48:D48"/>
    <mergeCell ref="A47:D47"/>
    <mergeCell ref="A43:D43"/>
    <mergeCell ref="A45:D45"/>
    <mergeCell ref="A7:D7"/>
    <mergeCell ref="A54:D54"/>
    <mergeCell ref="A58:C58"/>
    <mergeCell ref="A21:D21"/>
    <mergeCell ref="A50:D50"/>
    <mergeCell ref="A12:D12"/>
    <mergeCell ref="A23:D23"/>
    <mergeCell ref="A53:D53"/>
    <mergeCell ref="A44:D44"/>
    <mergeCell ref="A8:D8"/>
    <mergeCell ref="A28:D28"/>
    <mergeCell ref="A36:D36"/>
    <mergeCell ref="A25:D25"/>
    <mergeCell ref="A29:D29"/>
  </mergeCells>
  <phoneticPr fontId="0" type="noConversion"/>
  <hyperlinks>
    <hyperlink ref="A63" r:id="rId1" display="M$@$400/kg"/>
  </hyperlinks>
  <pageMargins left="0.6" right="0.7" top="0.9" bottom="0.6" header="0.6" footer="0.5"/>
  <pageSetup scale="78" fitToHeight="0" orientation="landscape" horizontalDpi="300" verticalDpi="300" r:id="rId2"/>
  <headerFooter alignWithMargins="0">
    <oddHeader>&amp;L&amp;9 &amp;"Arial Narrow,Regular"    &amp;F&amp;C&amp;"Arial Narrow,Regular"&amp;12 20 Tesla Target Magnet:  18 Solenoids, 5 of MgO-Insulated Hollow Conductor, 2 of Nb&amp;Y3&amp;YSn, 11 of NbTi (to ~20 m)
&amp;R&amp;"Arial Narrow,Regular"&amp;9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Sensitivity Report 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Customer</dc:creator>
  <cp:lastModifiedBy>Weggel</cp:lastModifiedBy>
  <cp:lastPrinted>2014-05-07T03:29:03Z</cp:lastPrinted>
  <dcterms:created xsi:type="dcterms:W3CDTF">1996-01-25T04:12:38Z</dcterms:created>
  <dcterms:modified xsi:type="dcterms:W3CDTF">2014-05-07T03:30:18Z</dcterms:modified>
</cp:coreProperties>
</file>